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przetowo\Documents\B2B\"/>
    </mc:Choice>
  </mc:AlternateContent>
  <xr:revisionPtr revIDLastSave="0" documentId="8_{0327BE3B-72DF-40F2-8798-9E7549E95FF5}" xr6:coauthVersionLast="47" xr6:coauthVersionMax="47" xr10:uidLastSave="{00000000-0000-0000-0000-000000000000}"/>
  <bookViews>
    <workbookView xWindow="-103" yWindow="-103" windowWidth="16663" windowHeight="8743" xr2:uid="{00000000-000D-0000-FFFF-FFFF00000000}"/>
  </bookViews>
  <sheets>
    <sheet name="ORDER" sheetId="1" r:id="rId1"/>
    <sheet name="DETAILS" sheetId="2" r:id="rId2"/>
    <sheet name="PRICES" sheetId="3" r:id="rId3"/>
    <sheet name="PRODUCTS" sheetId="4" r:id="rId4"/>
    <sheet name="USAGE" sheetId="5" r:id="rId5"/>
    <sheet name="BASE_PRICES" sheetId="6" state="hidden" r:id="rId6"/>
  </sheets>
  <definedNames>
    <definedName name="_xlnm._FilterDatabase" localSheetId="0" hidden="1">ORDER!$A$5:$L$58</definedName>
    <definedName name="_xlnm._FilterDatabase" localSheetId="2" hidden="1">PRICES!$B$1:$B$62</definedName>
  </definedNames>
  <calcPr calcId="191029" calcMode="auto" fullCalcOnLoad="1"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P48" i="6" l="1"/>
  <c r="O48" i="6"/>
  <c r="N48" i="6"/>
  <c r="M48" i="6"/>
  <c r="L48" i="6"/>
  <c r="K48" i="6"/>
  <c r="J48" i="6"/>
  <c r="I48" i="6"/>
  <c r="H48" i="6"/>
  <c r="G48" i="6"/>
  <c r="P47" i="6"/>
  <c r="O47" i="6"/>
  <c r="N47" i="6"/>
  <c r="M47" i="6"/>
  <c r="L47" i="6"/>
  <c r="K47" i="6"/>
  <c r="J47" i="6"/>
  <c r="I47" i="6"/>
  <c r="H47" i="6"/>
  <c r="G47" i="6"/>
  <c r="P45" i="6"/>
  <c r="O45" i="6"/>
  <c r="N45" i="6"/>
  <c r="M45" i="6"/>
  <c r="L45" i="6"/>
  <c r="K45" i="6"/>
  <c r="J45" i="6"/>
  <c r="I45" i="6"/>
  <c r="H45" i="6"/>
  <c r="G45" i="6"/>
  <c r="P44" i="6"/>
  <c r="O44" i="6"/>
  <c r="N44" i="6"/>
  <c r="M44" i="6"/>
  <c r="L44" i="6"/>
  <c r="K44" i="6"/>
  <c r="J44" i="6"/>
  <c r="I44" i="6"/>
  <c r="H44" i="6"/>
  <c r="G44" i="6"/>
  <c r="P43" i="6"/>
  <c r="O43" i="6"/>
  <c r="N43" i="6"/>
  <c r="M43" i="6"/>
  <c r="L43" i="6"/>
  <c r="K43" i="6"/>
  <c r="J43" i="6"/>
  <c r="I43" i="6"/>
  <c r="H43" i="6"/>
  <c r="G43" i="6"/>
  <c r="P42" i="6"/>
  <c r="O42" i="6"/>
  <c r="N42" i="6"/>
  <c r="M42" i="6"/>
  <c r="L42" i="6"/>
  <c r="K42" i="6"/>
  <c r="J42" i="6"/>
  <c r="I42" i="6"/>
  <c r="H42" i="6"/>
  <c r="G42" i="6"/>
  <c r="P41" i="6"/>
  <c r="O41" i="6"/>
  <c r="N41" i="6"/>
  <c r="M41" i="6"/>
  <c r="L41" i="6"/>
  <c r="K41" i="6"/>
  <c r="J41" i="6"/>
  <c r="I41" i="6"/>
  <c r="H41" i="6"/>
  <c r="G41" i="6"/>
  <c r="P40" i="6"/>
  <c r="O40" i="6"/>
  <c r="N40" i="6"/>
  <c r="M40" i="6"/>
  <c r="L40" i="6"/>
  <c r="K40" i="6"/>
  <c r="J40" i="6"/>
  <c r="I40" i="6"/>
  <c r="H40" i="6"/>
  <c r="G40" i="6"/>
  <c r="P39" i="6"/>
  <c r="O39" i="6"/>
  <c r="N39" i="6"/>
  <c r="M39" i="6"/>
  <c r="L39" i="6"/>
  <c r="K39" i="6"/>
  <c r="J39" i="6"/>
  <c r="I39" i="6"/>
  <c r="H39" i="6"/>
  <c r="G39" i="6"/>
  <c r="P37" i="6"/>
  <c r="O37" i="6"/>
  <c r="N37" i="6"/>
  <c r="M37" i="6"/>
  <c r="L37" i="6"/>
  <c r="K37" i="6"/>
  <c r="J37" i="6"/>
  <c r="I37" i="6"/>
  <c r="H37" i="6"/>
  <c r="G37" i="6"/>
  <c r="P36" i="6"/>
  <c r="O36" i="6"/>
  <c r="N36" i="6"/>
  <c r="M36" i="6"/>
  <c r="L36" i="6"/>
  <c r="K36" i="6"/>
  <c r="J36" i="6"/>
  <c r="I36" i="6"/>
  <c r="H36" i="6"/>
  <c r="G36" i="6"/>
  <c r="P33" i="6"/>
  <c r="O33" i="6"/>
  <c r="N33" i="6"/>
  <c r="M33" i="6"/>
  <c r="L33" i="6"/>
  <c r="K33" i="6"/>
  <c r="J33" i="6"/>
  <c r="I33" i="6"/>
  <c r="H33" i="6"/>
  <c r="G33" i="6"/>
  <c r="P31" i="6"/>
  <c r="O31" i="6"/>
  <c r="N31" i="6"/>
  <c r="M31" i="6"/>
  <c r="L31" i="6"/>
  <c r="K31" i="6"/>
  <c r="J31" i="6"/>
  <c r="I31" i="6"/>
  <c r="H31" i="6"/>
  <c r="G31" i="6"/>
  <c r="P30" i="6"/>
  <c r="O30" i="6"/>
  <c r="N30" i="6"/>
  <c r="M30" i="6"/>
  <c r="L30" i="6"/>
  <c r="K30" i="6"/>
  <c r="J30" i="6"/>
  <c r="I30" i="6"/>
  <c r="H30" i="6"/>
  <c r="G30" i="6"/>
  <c r="P29" i="6"/>
  <c r="O29" i="6"/>
  <c r="N29" i="6"/>
  <c r="M29" i="6"/>
  <c r="L29" i="6"/>
  <c r="K29" i="6"/>
  <c r="J29" i="6"/>
  <c r="I29" i="6"/>
  <c r="H29" i="6"/>
  <c r="G29" i="6"/>
  <c r="M17" i="6"/>
  <c r="M16" i="6"/>
  <c r="M15" i="6"/>
  <c r="M14" i="6"/>
  <c r="M13" i="6"/>
  <c r="M12" i="6"/>
  <c r="M11" i="6"/>
  <c r="M10" i="6"/>
  <c r="M9" i="6"/>
  <c r="M8" i="6"/>
  <c r="M7" i="6"/>
  <c r="M6" i="6"/>
  <c r="M5" i="6"/>
  <c r="F3" i="4"/>
  <c r="W57" i="3"/>
  <c r="T57" i="3"/>
  <c r="S57" i="3"/>
  <c r="R57" i="3"/>
  <c r="Q57" i="3"/>
  <c r="I57" i="3"/>
  <c r="U57" i="3" s="1"/>
  <c r="V57" i="3" s="1"/>
  <c r="I58" i="1" s="1"/>
  <c r="H57" i="3"/>
  <c r="D57" i="3"/>
  <c r="W56" i="3"/>
  <c r="T56" i="3"/>
  <c r="S56" i="3"/>
  <c r="R56" i="3"/>
  <c r="Q56" i="3"/>
  <c r="I56" i="3"/>
  <c r="U56" i="3" s="1"/>
  <c r="V56" i="3" s="1"/>
  <c r="I57" i="1" s="1"/>
  <c r="H56" i="3"/>
  <c r="D56" i="3"/>
  <c r="W55" i="3"/>
  <c r="T55" i="3"/>
  <c r="S55" i="3"/>
  <c r="R55" i="3"/>
  <c r="Q55" i="3"/>
  <c r="I55" i="3"/>
  <c r="U55" i="3" s="1"/>
  <c r="V55" i="3" s="1"/>
  <c r="I56" i="1" s="1"/>
  <c r="H55" i="3"/>
  <c r="D55" i="3"/>
  <c r="W54" i="3"/>
  <c r="T54" i="3"/>
  <c r="S54" i="3"/>
  <c r="R54" i="3"/>
  <c r="Q54" i="3"/>
  <c r="I54" i="3"/>
  <c r="U54" i="3" s="1"/>
  <c r="V54" i="3" s="1"/>
  <c r="I55" i="1" s="1"/>
  <c r="H54" i="3"/>
  <c r="D54" i="3"/>
  <c r="W53" i="3"/>
  <c r="T53" i="3"/>
  <c r="S53" i="3"/>
  <c r="R53" i="3"/>
  <c r="Q53" i="3"/>
  <c r="I53" i="3"/>
  <c r="U53" i="3" s="1"/>
  <c r="V53" i="3" s="1"/>
  <c r="H53" i="3"/>
  <c r="D53" i="3"/>
  <c r="W52" i="3"/>
  <c r="T52" i="3"/>
  <c r="S52" i="3"/>
  <c r="R52" i="3"/>
  <c r="Q52" i="3"/>
  <c r="I52" i="3"/>
  <c r="U52" i="3" s="1"/>
  <c r="V52" i="3" s="1"/>
  <c r="I53" i="1" s="1"/>
  <c r="H52" i="3"/>
  <c r="D52" i="3"/>
  <c r="W51" i="3"/>
  <c r="T51" i="3"/>
  <c r="S51" i="3"/>
  <c r="R51" i="3"/>
  <c r="Q51" i="3"/>
  <c r="I51" i="3"/>
  <c r="U51" i="3" s="1"/>
  <c r="V51" i="3" s="1"/>
  <c r="I52" i="1" s="1"/>
  <c r="H51" i="3"/>
  <c r="D51" i="3"/>
  <c r="W50" i="3"/>
  <c r="T50" i="3"/>
  <c r="S50" i="3"/>
  <c r="R50" i="3"/>
  <c r="Q50" i="3"/>
  <c r="I50" i="3"/>
  <c r="U50" i="3" s="1"/>
  <c r="V50" i="3" s="1"/>
  <c r="H50" i="3"/>
  <c r="D50" i="3"/>
  <c r="W49" i="3"/>
  <c r="T49" i="3"/>
  <c r="S49" i="3"/>
  <c r="R49" i="3"/>
  <c r="Q49" i="3"/>
  <c r="I49" i="3"/>
  <c r="U49" i="3" s="1"/>
  <c r="V49" i="3" s="1"/>
  <c r="H49" i="3"/>
  <c r="D49" i="3"/>
  <c r="W48" i="3"/>
  <c r="J48" i="3"/>
  <c r="I48" i="3"/>
  <c r="U48" i="3" s="1"/>
  <c r="V48" i="3" s="1"/>
  <c r="I49" i="1" s="1"/>
  <c r="H48" i="3"/>
  <c r="D48" i="3"/>
  <c r="W47" i="3"/>
  <c r="J47" i="3"/>
  <c r="I47" i="3"/>
  <c r="U47" i="3" s="1"/>
  <c r="V47" i="3" s="1"/>
  <c r="H47" i="3"/>
  <c r="D47" i="3"/>
  <c r="W46" i="3"/>
  <c r="T46" i="3"/>
  <c r="S46" i="3"/>
  <c r="R46" i="3"/>
  <c r="I46" i="3"/>
  <c r="U46" i="3" s="1"/>
  <c r="V46" i="3" s="1"/>
  <c r="H46" i="3"/>
  <c r="D46" i="3"/>
  <c r="W45" i="3"/>
  <c r="J45" i="3"/>
  <c r="I45" i="3"/>
  <c r="U45" i="3" s="1"/>
  <c r="V45" i="3" s="1"/>
  <c r="I46" i="1" s="1"/>
  <c r="H45" i="3"/>
  <c r="D45" i="3"/>
  <c r="W44" i="3"/>
  <c r="J44" i="3"/>
  <c r="I44" i="3"/>
  <c r="U44" i="3" s="1"/>
  <c r="V44" i="3" s="1"/>
  <c r="I45" i="1" s="1"/>
  <c r="H44" i="3"/>
  <c r="D44" i="3"/>
  <c r="W43" i="3"/>
  <c r="J43" i="3"/>
  <c r="I43" i="3"/>
  <c r="U43" i="3" s="1"/>
  <c r="V43" i="3" s="1"/>
  <c r="I44" i="1" s="1"/>
  <c r="H43" i="3"/>
  <c r="D43" i="3"/>
  <c r="W42" i="3"/>
  <c r="J42" i="3"/>
  <c r="I42" i="3"/>
  <c r="U42" i="3" s="1"/>
  <c r="V42" i="3" s="1"/>
  <c r="H42" i="3"/>
  <c r="D42" i="3"/>
  <c r="W41" i="3"/>
  <c r="J41" i="3"/>
  <c r="I41" i="3"/>
  <c r="U41" i="3" s="1"/>
  <c r="V41" i="3" s="1"/>
  <c r="I42" i="1" s="1"/>
  <c r="H41" i="3"/>
  <c r="D41" i="3"/>
  <c r="W40" i="3"/>
  <c r="J40" i="3"/>
  <c r="I40" i="3"/>
  <c r="U40" i="3" s="1"/>
  <c r="V40" i="3" s="1"/>
  <c r="H40" i="3"/>
  <c r="D40" i="3"/>
  <c r="W39" i="3"/>
  <c r="J39" i="3"/>
  <c r="I39" i="3"/>
  <c r="U39" i="3" s="1"/>
  <c r="V39" i="3" s="1"/>
  <c r="I40" i="1" s="1"/>
  <c r="H39" i="3"/>
  <c r="D39" i="3"/>
  <c r="W38" i="3"/>
  <c r="I38" i="3"/>
  <c r="U38" i="3" s="1"/>
  <c r="V38" i="3" s="1"/>
  <c r="I39" i="1" s="1"/>
  <c r="H38" i="3"/>
  <c r="D38" i="3"/>
  <c r="W37" i="3"/>
  <c r="J37" i="3"/>
  <c r="I37" i="3"/>
  <c r="U37" i="3" s="1"/>
  <c r="V37" i="3" s="1"/>
  <c r="H37" i="3"/>
  <c r="D37" i="3"/>
  <c r="W36" i="3"/>
  <c r="J36" i="3"/>
  <c r="I36" i="3"/>
  <c r="U36" i="3" s="1"/>
  <c r="V36" i="3" s="1"/>
  <c r="H37" i="1" s="1"/>
  <c r="J37" i="1" s="1"/>
  <c r="H36" i="3"/>
  <c r="D36" i="3"/>
  <c r="W35" i="3"/>
  <c r="T35" i="3"/>
  <c r="S35" i="3"/>
  <c r="R35" i="3"/>
  <c r="I35" i="3"/>
  <c r="U35" i="3" s="1"/>
  <c r="V35" i="3" s="1"/>
  <c r="I36" i="1" s="1"/>
  <c r="H35" i="3"/>
  <c r="D35" i="3"/>
  <c r="W34" i="3"/>
  <c r="I34" i="3"/>
  <c r="U34" i="3" s="1"/>
  <c r="V34" i="3" s="1"/>
  <c r="H34" i="3"/>
  <c r="D34" i="3"/>
  <c r="W33" i="3"/>
  <c r="J33" i="3"/>
  <c r="I33" i="3"/>
  <c r="U33" i="3" s="1"/>
  <c r="V33" i="3" s="1"/>
  <c r="H34" i="1" s="1"/>
  <c r="J34" i="1" s="1"/>
  <c r="H33" i="3"/>
  <c r="D33" i="3"/>
  <c r="W32" i="3"/>
  <c r="I32" i="3"/>
  <c r="U32" i="3" s="1"/>
  <c r="V32" i="3" s="1"/>
  <c r="I33" i="1" s="1"/>
  <c r="H32" i="3"/>
  <c r="D32" i="3"/>
  <c r="W31" i="3"/>
  <c r="J31" i="3"/>
  <c r="I31" i="3"/>
  <c r="U31" i="3" s="1"/>
  <c r="V31" i="3" s="1"/>
  <c r="I32" i="1" s="1"/>
  <c r="H31" i="3"/>
  <c r="D31" i="3"/>
  <c r="W30" i="3"/>
  <c r="J30" i="3"/>
  <c r="I30" i="3"/>
  <c r="U30" i="3" s="1"/>
  <c r="V30" i="3" s="1"/>
  <c r="I31" i="1" s="1"/>
  <c r="H30" i="3"/>
  <c r="D30" i="3"/>
  <c r="W29" i="3"/>
  <c r="J29" i="3"/>
  <c r="I29" i="3"/>
  <c r="U29" i="3" s="1"/>
  <c r="V29" i="3" s="1"/>
  <c r="H29" i="3"/>
  <c r="D29" i="3"/>
  <c r="W28" i="3"/>
  <c r="R28" i="3"/>
  <c r="Q28" i="3"/>
  <c r="P28" i="3"/>
  <c r="O28" i="3"/>
  <c r="N28" i="3"/>
  <c r="M28" i="3"/>
  <c r="L28" i="3"/>
  <c r="K28" i="3"/>
  <c r="J28" i="3"/>
  <c r="I28" i="3"/>
  <c r="U28" i="3" s="1"/>
  <c r="V28" i="3" s="1"/>
  <c r="I29" i="1" s="1"/>
  <c r="H28" i="3"/>
  <c r="D28" i="3"/>
  <c r="W27" i="3"/>
  <c r="R27" i="3"/>
  <c r="Q27" i="3"/>
  <c r="P27" i="3"/>
  <c r="O27" i="3"/>
  <c r="N27" i="3"/>
  <c r="M27" i="3"/>
  <c r="L27" i="3"/>
  <c r="K27" i="3"/>
  <c r="J27" i="3"/>
  <c r="I27" i="3"/>
  <c r="U27" i="3" s="1"/>
  <c r="V27" i="3" s="1"/>
  <c r="I28" i="1" s="1"/>
  <c r="H27" i="3"/>
  <c r="D27" i="3"/>
  <c r="W26" i="3"/>
  <c r="R26" i="3"/>
  <c r="Q26" i="3"/>
  <c r="P26" i="3"/>
  <c r="O26" i="3"/>
  <c r="N26" i="3"/>
  <c r="M26" i="3"/>
  <c r="L26" i="3"/>
  <c r="K26" i="3"/>
  <c r="J26" i="3"/>
  <c r="I26" i="3"/>
  <c r="U26" i="3" s="1"/>
  <c r="V26" i="3" s="1"/>
  <c r="I27" i="1" s="1"/>
  <c r="H26" i="3"/>
  <c r="D26" i="3"/>
  <c r="W25" i="3"/>
  <c r="R25" i="3"/>
  <c r="Q25" i="3"/>
  <c r="P25" i="3"/>
  <c r="O25" i="3"/>
  <c r="N25" i="3"/>
  <c r="M25" i="3"/>
  <c r="L25" i="3"/>
  <c r="K25" i="3"/>
  <c r="J25" i="3"/>
  <c r="I25" i="3"/>
  <c r="U25" i="3" s="1"/>
  <c r="V25" i="3" s="1"/>
  <c r="H26" i="1" s="1"/>
  <c r="J26" i="1" s="1"/>
  <c r="H25" i="3"/>
  <c r="D25" i="3"/>
  <c r="W24" i="3"/>
  <c r="R24" i="3"/>
  <c r="Q24" i="3"/>
  <c r="P24" i="3"/>
  <c r="O24" i="3"/>
  <c r="N24" i="3"/>
  <c r="M24" i="3"/>
  <c r="L24" i="3"/>
  <c r="K24" i="3"/>
  <c r="J24" i="3"/>
  <c r="I24" i="3"/>
  <c r="U24" i="3" s="1"/>
  <c r="V24" i="3" s="1"/>
  <c r="I25" i="1" s="1"/>
  <c r="H24" i="3"/>
  <c r="D24" i="3"/>
  <c r="W23" i="3"/>
  <c r="R23" i="3"/>
  <c r="Q23" i="3"/>
  <c r="P23" i="3"/>
  <c r="O23" i="3"/>
  <c r="N23" i="3"/>
  <c r="M23" i="3"/>
  <c r="L23" i="3"/>
  <c r="K23" i="3"/>
  <c r="J23" i="3"/>
  <c r="I23" i="3"/>
  <c r="U23" i="3" s="1"/>
  <c r="V23" i="3" s="1"/>
  <c r="I24" i="1" s="1"/>
  <c r="H23" i="3"/>
  <c r="D23" i="3"/>
  <c r="W22" i="3"/>
  <c r="R22" i="3"/>
  <c r="Q22" i="3"/>
  <c r="P22" i="3"/>
  <c r="O22" i="3"/>
  <c r="N22" i="3"/>
  <c r="M22" i="3"/>
  <c r="L22" i="3"/>
  <c r="K22" i="3"/>
  <c r="J22" i="3"/>
  <c r="I22" i="3"/>
  <c r="U22" i="3" s="1"/>
  <c r="V22" i="3" s="1"/>
  <c r="H22" i="3"/>
  <c r="D22" i="3"/>
  <c r="W21" i="3"/>
  <c r="R21" i="3"/>
  <c r="Q21" i="3"/>
  <c r="P21" i="3"/>
  <c r="O21" i="3"/>
  <c r="N21" i="3"/>
  <c r="M21" i="3"/>
  <c r="L21" i="3"/>
  <c r="K21" i="3"/>
  <c r="J21" i="3"/>
  <c r="I21" i="3"/>
  <c r="U21" i="3" s="1"/>
  <c r="V21" i="3" s="1"/>
  <c r="I22" i="1" s="1"/>
  <c r="H21" i="3"/>
  <c r="D21" i="3"/>
  <c r="W20" i="3"/>
  <c r="R20" i="3"/>
  <c r="Q20" i="3"/>
  <c r="P20" i="3"/>
  <c r="O20" i="3"/>
  <c r="N20" i="3"/>
  <c r="M20" i="3"/>
  <c r="L20" i="3"/>
  <c r="K20" i="3"/>
  <c r="J20" i="3"/>
  <c r="I20" i="3"/>
  <c r="U20" i="3" s="1"/>
  <c r="V20" i="3" s="1"/>
  <c r="I21" i="1" s="1"/>
  <c r="H20" i="3"/>
  <c r="D20" i="3"/>
  <c r="W19" i="3"/>
  <c r="R19" i="3"/>
  <c r="Q19" i="3"/>
  <c r="P19" i="3"/>
  <c r="O19" i="3"/>
  <c r="N19" i="3"/>
  <c r="M19" i="3"/>
  <c r="L19" i="3"/>
  <c r="K19" i="3"/>
  <c r="J19" i="3"/>
  <c r="I19" i="3"/>
  <c r="U19" i="3" s="1"/>
  <c r="V19" i="3" s="1"/>
  <c r="H19" i="3"/>
  <c r="D19" i="3"/>
  <c r="W18" i="3"/>
  <c r="R18" i="3"/>
  <c r="Q18" i="3"/>
  <c r="P18" i="3"/>
  <c r="O18" i="3"/>
  <c r="N18" i="3"/>
  <c r="M18" i="3"/>
  <c r="L18" i="3"/>
  <c r="K18" i="3"/>
  <c r="J18" i="3"/>
  <c r="I18" i="3"/>
  <c r="U18" i="3" s="1"/>
  <c r="V18" i="3" s="1"/>
  <c r="H19" i="1" s="1"/>
  <c r="J19" i="1" s="1"/>
  <c r="H18" i="3"/>
  <c r="D18" i="3"/>
  <c r="W17" i="3"/>
  <c r="K17" i="3"/>
  <c r="J17" i="3"/>
  <c r="I17" i="3"/>
  <c r="U17" i="3" s="1"/>
  <c r="V17" i="3" s="1"/>
  <c r="I18" i="1" s="1"/>
  <c r="H17" i="3"/>
  <c r="D17" i="3"/>
  <c r="W16" i="3"/>
  <c r="K16" i="3"/>
  <c r="J16" i="3"/>
  <c r="I16" i="3"/>
  <c r="U16" i="3" s="1"/>
  <c r="V16" i="3" s="1"/>
  <c r="I17" i="1" s="1"/>
  <c r="H16" i="3"/>
  <c r="D16" i="3"/>
  <c r="W15" i="3"/>
  <c r="K15" i="3"/>
  <c r="J15" i="3"/>
  <c r="I15" i="3"/>
  <c r="U15" i="3" s="1"/>
  <c r="V15" i="3" s="1"/>
  <c r="I16" i="1" s="1"/>
  <c r="H15" i="3"/>
  <c r="D15" i="3"/>
  <c r="W14" i="3"/>
  <c r="K14" i="3"/>
  <c r="J14" i="3"/>
  <c r="I14" i="3"/>
  <c r="U14" i="3" s="1"/>
  <c r="V14" i="3" s="1"/>
  <c r="H14" i="3"/>
  <c r="D14" i="3"/>
  <c r="W13" i="3"/>
  <c r="K13" i="3"/>
  <c r="J13" i="3"/>
  <c r="I13" i="3"/>
  <c r="U13" i="3" s="1"/>
  <c r="V13" i="3" s="1"/>
  <c r="I14" i="1" s="1"/>
  <c r="H13" i="3"/>
  <c r="D13" i="3"/>
  <c r="W12" i="3"/>
  <c r="K12" i="3"/>
  <c r="J12" i="3"/>
  <c r="I12" i="3"/>
  <c r="U12" i="3" s="1"/>
  <c r="V12" i="3" s="1"/>
  <c r="H12" i="3"/>
  <c r="D12" i="3"/>
  <c r="W11" i="3"/>
  <c r="K11" i="3"/>
  <c r="J11" i="3"/>
  <c r="I11" i="3"/>
  <c r="U11" i="3" s="1"/>
  <c r="V11" i="3" s="1"/>
  <c r="I12" i="1" s="1"/>
  <c r="H11" i="3"/>
  <c r="D11" i="3"/>
  <c r="W10" i="3"/>
  <c r="K10" i="3"/>
  <c r="J10" i="3"/>
  <c r="I10" i="3"/>
  <c r="U10" i="3" s="1"/>
  <c r="V10" i="3" s="1"/>
  <c r="I11" i="1" s="1"/>
  <c r="H10" i="3"/>
  <c r="D10" i="3"/>
  <c r="W9" i="3"/>
  <c r="K9" i="3"/>
  <c r="J9" i="3"/>
  <c r="I9" i="3"/>
  <c r="U9" i="3" s="1"/>
  <c r="V9" i="3" s="1"/>
  <c r="H9" i="3"/>
  <c r="D9" i="3"/>
  <c r="W8" i="3"/>
  <c r="K8" i="3"/>
  <c r="J8" i="3"/>
  <c r="I8" i="3"/>
  <c r="U8" i="3" s="1"/>
  <c r="V8" i="3" s="1"/>
  <c r="H8" i="3"/>
  <c r="D8" i="3"/>
  <c r="W7" i="3"/>
  <c r="K7" i="3"/>
  <c r="J7" i="3"/>
  <c r="I7" i="3"/>
  <c r="U7" i="3" s="1"/>
  <c r="V7" i="3" s="1"/>
  <c r="I8" i="1" s="1"/>
  <c r="H7" i="3"/>
  <c r="D7" i="3"/>
  <c r="W6" i="3"/>
  <c r="K6" i="3"/>
  <c r="J6" i="3"/>
  <c r="I6" i="3"/>
  <c r="U6" i="3" s="1"/>
  <c r="V6" i="3" s="1"/>
  <c r="I7" i="1" s="1"/>
  <c r="H6" i="3"/>
  <c r="D6" i="3"/>
  <c r="W5" i="3"/>
  <c r="K5" i="3"/>
  <c r="J5" i="3"/>
  <c r="I5" i="3"/>
  <c r="U5" i="3" s="1"/>
  <c r="V5" i="3" s="1"/>
  <c r="H5" i="3"/>
  <c r="D5" i="3"/>
  <c r="B33" i="2"/>
  <c r="C33" i="2" s="1"/>
  <c r="B27" i="2"/>
  <c r="B26" i="2" s="1"/>
  <c r="L51" i="3" s="1"/>
  <c r="B2" i="2"/>
  <c r="D22" i="4" s="1"/>
  <c r="L58" i="1"/>
  <c r="L57" i="1"/>
  <c r="L56" i="1"/>
  <c r="L55" i="1"/>
  <c r="L54" i="1"/>
  <c r="L53" i="1"/>
  <c r="H53" i="1"/>
  <c r="J53" i="1" s="1"/>
  <c r="L52" i="1"/>
  <c r="L51" i="1"/>
  <c r="L50" i="1"/>
  <c r="L49" i="1"/>
  <c r="L48" i="1"/>
  <c r="L47" i="1"/>
  <c r="L46" i="1"/>
  <c r="L45" i="1"/>
  <c r="L44" i="1"/>
  <c r="L43" i="1"/>
  <c r="L42" i="1"/>
  <c r="L41" i="1"/>
  <c r="L40" i="1"/>
  <c r="L39" i="1"/>
  <c r="L38" i="1"/>
  <c r="L37" i="1"/>
  <c r="L36" i="1"/>
  <c r="L35" i="1"/>
  <c r="L34" i="1"/>
  <c r="L33" i="1"/>
  <c r="L32" i="1"/>
  <c r="H32" i="1"/>
  <c r="J32" i="1" s="1"/>
  <c r="L31" i="1"/>
  <c r="L30" i="1"/>
  <c r="L29" i="1"/>
  <c r="L28" i="1"/>
  <c r="L27" i="1"/>
  <c r="L26" i="1"/>
  <c r="L25" i="1"/>
  <c r="L24" i="1"/>
  <c r="L23" i="1"/>
  <c r="L22" i="1"/>
  <c r="L21" i="1"/>
  <c r="L20" i="1"/>
  <c r="L19" i="1"/>
  <c r="L18" i="1"/>
  <c r="L17" i="1"/>
  <c r="L16" i="1"/>
  <c r="L15" i="1"/>
  <c r="L14" i="1"/>
  <c r="L13" i="1"/>
  <c r="L12" i="1"/>
  <c r="L11" i="1"/>
  <c r="L10" i="1"/>
  <c r="L9" i="1"/>
  <c r="L8" i="1"/>
  <c r="L7" i="1"/>
  <c r="L6" i="1"/>
  <c r="C56" i="4" l="1"/>
  <c r="H52" i="1"/>
  <c r="J52" i="1" s="1"/>
  <c r="I34" i="1"/>
  <c r="H56" i="1"/>
  <c r="J56" i="1" s="1"/>
  <c r="H58" i="1"/>
  <c r="J58" i="1" s="1"/>
  <c r="I26" i="1"/>
  <c r="H55" i="1"/>
  <c r="J55" i="1" s="1"/>
  <c r="H27" i="1"/>
  <c r="J27" i="1" s="1"/>
  <c r="H22" i="1"/>
  <c r="J22" i="1" s="1"/>
  <c r="H31" i="1"/>
  <c r="J31" i="1" s="1"/>
  <c r="H39" i="1"/>
  <c r="J39" i="1" s="1"/>
  <c r="H24" i="1"/>
  <c r="J24" i="1" s="1"/>
  <c r="E45" i="1"/>
  <c r="A3" i="1"/>
  <c r="B16" i="1"/>
  <c r="B15" i="3" s="1"/>
  <c r="B38" i="1"/>
  <c r="B37" i="3" s="1"/>
  <c r="E2" i="1"/>
  <c r="H8" i="1"/>
  <c r="J8" i="1" s="1"/>
  <c r="B10" i="1"/>
  <c r="B9" i="3" s="1"/>
  <c r="C21" i="1"/>
  <c r="C20" i="3" s="1"/>
  <c r="E38" i="1"/>
  <c r="E10" i="1"/>
  <c r="K5" i="1"/>
  <c r="C17" i="1"/>
  <c r="C16" i="3" s="1"/>
  <c r="B23" i="1"/>
  <c r="B22" i="3" s="1"/>
  <c r="H29" i="1"/>
  <c r="J29" i="1" s="1"/>
  <c r="H40" i="1"/>
  <c r="J40" i="1" s="1"/>
  <c r="B49" i="1"/>
  <c r="B48" i="3" s="1"/>
  <c r="B17" i="1"/>
  <c r="B16" i="3" s="1"/>
  <c r="B6" i="1"/>
  <c r="B12" i="1"/>
  <c r="B11" i="3" s="1"/>
  <c r="E23" i="1"/>
  <c r="E49" i="1"/>
  <c r="I5" i="1"/>
  <c r="C6" i="1"/>
  <c r="C5" i="3" s="1"/>
  <c r="C12" i="1"/>
  <c r="C11" i="3" s="1"/>
  <c r="E34" i="1"/>
  <c r="E12" i="1"/>
  <c r="I19" i="1"/>
  <c r="E13" i="1"/>
  <c r="C20" i="1"/>
  <c r="C19" i="3" s="1"/>
  <c r="I37" i="1"/>
  <c r="J5" i="1"/>
  <c r="I47" i="1"/>
  <c r="H47" i="1"/>
  <c r="J47" i="1" s="1"/>
  <c r="H2" i="1"/>
  <c r="F6" i="1"/>
  <c r="C10" i="1"/>
  <c r="C9" i="3" s="1"/>
  <c r="C13" i="1"/>
  <c r="C12" i="3" s="1"/>
  <c r="E17" i="1"/>
  <c r="H21" i="1"/>
  <c r="J21" i="1" s="1"/>
  <c r="E25" i="1"/>
  <c r="H45" i="1"/>
  <c r="J45" i="1" s="1"/>
  <c r="E52" i="1"/>
  <c r="E56" i="1"/>
  <c r="H17" i="1"/>
  <c r="J17" i="1" s="1"/>
  <c r="E30" i="1"/>
  <c r="B40" i="1"/>
  <c r="B39" i="3" s="1"/>
  <c r="F52" i="1"/>
  <c r="H3" i="1"/>
  <c r="E7" i="1"/>
  <c r="E26" i="1"/>
  <c r="C40" i="1"/>
  <c r="C39" i="3" s="1"/>
  <c r="T24" i="3"/>
  <c r="A5" i="1"/>
  <c r="B11" i="1"/>
  <c r="B10" i="3" s="1"/>
  <c r="E14" i="1"/>
  <c r="F22" i="1"/>
  <c r="F26" i="1"/>
  <c r="E36" i="1"/>
  <c r="E40" i="1"/>
  <c r="B5" i="1"/>
  <c r="B8" i="1"/>
  <c r="B7" i="3" s="1"/>
  <c r="E11" i="1"/>
  <c r="B18" i="1"/>
  <c r="B17" i="3" s="1"/>
  <c r="H36" i="1"/>
  <c r="J36" i="1" s="1"/>
  <c r="D5" i="1"/>
  <c r="C8" i="1"/>
  <c r="C7" i="3" s="1"/>
  <c r="H11" i="1"/>
  <c r="J11" i="1" s="1"/>
  <c r="E15" i="1"/>
  <c r="H5" i="1"/>
  <c r="F8" i="1"/>
  <c r="F15" i="1"/>
  <c r="I20" i="1"/>
  <c r="H20" i="1"/>
  <c r="J20" i="1" s="1"/>
  <c r="I38" i="1"/>
  <c r="H38" i="1"/>
  <c r="J38" i="1" s="1"/>
  <c r="I43" i="1"/>
  <c r="H43" i="1"/>
  <c r="J43" i="1" s="1"/>
  <c r="I13" i="1"/>
  <c r="H13" i="1"/>
  <c r="J13" i="1" s="1"/>
  <c r="H14" i="1"/>
  <c r="J14" i="1" s="1"/>
  <c r="L3" i="1"/>
  <c r="Q14" i="3"/>
  <c r="A17" i="2"/>
  <c r="A4" i="1"/>
  <c r="L5" i="1"/>
  <c r="E8" i="1"/>
  <c r="F10" i="1"/>
  <c r="B13" i="1"/>
  <c r="B15" i="1"/>
  <c r="B14" i="3" s="1"/>
  <c r="C30" i="1"/>
  <c r="C29" i="3" s="1"/>
  <c r="C34" i="1"/>
  <c r="C33" i="3" s="1"/>
  <c r="C45" i="1"/>
  <c r="C44" i="3" s="1"/>
  <c r="C49" i="1"/>
  <c r="C48" i="3" s="1"/>
  <c r="B56" i="1"/>
  <c r="B55" i="3" s="1"/>
  <c r="A24" i="2"/>
  <c r="H49" i="1"/>
  <c r="J49" i="1" s="1"/>
  <c r="C5" i="1"/>
  <c r="E6" i="1"/>
  <c r="C11" i="1"/>
  <c r="C10" i="3" s="1"/>
  <c r="C18" i="1"/>
  <c r="C17" i="3" s="1"/>
  <c r="B21" i="1"/>
  <c r="F41" i="1"/>
  <c r="F3" i="3"/>
  <c r="F24" i="1"/>
  <c r="H4" i="3"/>
  <c r="F1" i="1"/>
  <c r="E5" i="1"/>
  <c r="B9" i="1"/>
  <c r="B8" i="3" s="1"/>
  <c r="C16" i="1"/>
  <c r="C15" i="3" s="1"/>
  <c r="B19" i="1"/>
  <c r="B18" i="3" s="1"/>
  <c r="E21" i="1"/>
  <c r="B28" i="1"/>
  <c r="B27" i="3" s="1"/>
  <c r="B42" i="1"/>
  <c r="B41" i="3" s="1"/>
  <c r="B47" i="1"/>
  <c r="B46" i="3" s="1"/>
  <c r="B54" i="1"/>
  <c r="B53" i="3" s="1"/>
  <c r="A2" i="1"/>
  <c r="F5" i="1"/>
  <c r="B7" i="1"/>
  <c r="C9" i="1"/>
  <c r="C8" i="3" s="1"/>
  <c r="B14" i="1"/>
  <c r="B13" i="3" s="1"/>
  <c r="E16" i="1"/>
  <c r="C19" i="1"/>
  <c r="C18" i="3" s="1"/>
  <c r="C28" i="1"/>
  <c r="C27" i="3" s="1"/>
  <c r="B32" i="1"/>
  <c r="B31" i="3" s="1"/>
  <c r="B36" i="1"/>
  <c r="E47" i="1"/>
  <c r="B51" i="1"/>
  <c r="B50" i="3" s="1"/>
  <c r="C54" i="1"/>
  <c r="C53" i="3" s="1"/>
  <c r="E58" i="1"/>
  <c r="C2" i="1"/>
  <c r="G5" i="1"/>
  <c r="C7" i="1"/>
  <c r="C6" i="3" s="1"/>
  <c r="E9" i="1"/>
  <c r="C14" i="1"/>
  <c r="C13" i="3" s="1"/>
  <c r="E19" i="1"/>
  <c r="B25" i="1"/>
  <c r="B24" i="3" s="1"/>
  <c r="E28" i="1"/>
  <c r="E32" i="1"/>
  <c r="C36" i="1"/>
  <c r="C35" i="3" s="1"/>
  <c r="F43" i="1"/>
  <c r="C51" i="1"/>
  <c r="C50" i="3" s="1"/>
  <c r="E54" i="1"/>
  <c r="H41" i="1"/>
  <c r="J41" i="1" s="1"/>
  <c r="I41" i="1"/>
  <c r="H15" i="1"/>
  <c r="J15" i="1" s="1"/>
  <c r="I15" i="1"/>
  <c r="I51" i="1"/>
  <c r="H51" i="1"/>
  <c r="J51" i="1" s="1"/>
  <c r="H48" i="1"/>
  <c r="J48" i="1" s="1"/>
  <c r="I48" i="1"/>
  <c r="I54" i="1"/>
  <c r="H54" i="1"/>
  <c r="J54" i="1" s="1"/>
  <c r="I35" i="1"/>
  <c r="H35" i="1"/>
  <c r="J35" i="1" s="1"/>
  <c r="H50" i="1"/>
  <c r="J50" i="1" s="1"/>
  <c r="I50" i="1"/>
  <c r="I30" i="1"/>
  <c r="H30" i="1"/>
  <c r="J30" i="1" s="1"/>
  <c r="I9" i="1"/>
  <c r="H9" i="1"/>
  <c r="J9" i="1" s="1"/>
  <c r="H10" i="1"/>
  <c r="J10" i="1" s="1"/>
  <c r="I10" i="1"/>
  <c r="F12" i="1"/>
  <c r="F36" i="1"/>
  <c r="F38" i="1"/>
  <c r="N6" i="3"/>
  <c r="G13" i="3"/>
  <c r="L14" i="3"/>
  <c r="T32" i="3"/>
  <c r="F19" i="1"/>
  <c r="F7" i="1"/>
  <c r="H12" i="1"/>
  <c r="J12" i="1" s="1"/>
  <c r="F21" i="1"/>
  <c r="C23" i="1"/>
  <c r="C22" i="3" s="1"/>
  <c r="C25" i="1"/>
  <c r="C24" i="3" s="1"/>
  <c r="B29" i="1"/>
  <c r="B28" i="3" s="1"/>
  <c r="B31" i="1"/>
  <c r="F40" i="1"/>
  <c r="C42" i="1"/>
  <c r="C41" i="3" s="1"/>
  <c r="B44" i="1"/>
  <c r="B43" i="3" s="1"/>
  <c r="B46" i="1"/>
  <c r="B45" i="3" s="1"/>
  <c r="F49" i="1"/>
  <c r="E51" i="1"/>
  <c r="B53" i="1"/>
  <c r="B52" i="3" s="1"/>
  <c r="A5" i="2"/>
  <c r="A34" i="2"/>
  <c r="H7" i="1"/>
  <c r="J7" i="1" s="1"/>
  <c r="F14" i="1"/>
  <c r="B27" i="1"/>
  <c r="B26" i="3" s="1"/>
  <c r="E29" i="1"/>
  <c r="C31" i="1"/>
  <c r="C30" i="3" s="1"/>
  <c r="B33" i="1"/>
  <c r="B35" i="1"/>
  <c r="B34" i="3" s="1"/>
  <c r="E42" i="1"/>
  <c r="E44" i="1"/>
  <c r="C46" i="1"/>
  <c r="C45" i="3" s="1"/>
  <c r="E53" i="1"/>
  <c r="B55" i="1"/>
  <c r="B54" i="3" s="1"/>
  <c r="A6" i="2"/>
  <c r="E34" i="2"/>
  <c r="Q8" i="3"/>
  <c r="T11" i="3"/>
  <c r="O30" i="3"/>
  <c r="F32" i="1"/>
  <c r="F34" i="1"/>
  <c r="F17" i="1"/>
  <c r="F47" i="1"/>
  <c r="G5" i="3"/>
  <c r="F9" i="1"/>
  <c r="B20" i="1"/>
  <c r="F23" i="1"/>
  <c r="F25" i="1"/>
  <c r="C27" i="1"/>
  <c r="C26" i="3" s="1"/>
  <c r="F29" i="1"/>
  <c r="E31" i="1"/>
  <c r="C33" i="1"/>
  <c r="C32" i="3" s="1"/>
  <c r="E35" i="1"/>
  <c r="B37" i="1"/>
  <c r="B36" i="3" s="1"/>
  <c r="H42" i="1"/>
  <c r="J42" i="1" s="1"/>
  <c r="F44" i="1"/>
  <c r="E46" i="1"/>
  <c r="F53" i="1"/>
  <c r="C55" i="1"/>
  <c r="C54" i="3" s="1"/>
  <c r="C57" i="1"/>
  <c r="C56" i="3" s="1"/>
  <c r="A7" i="2"/>
  <c r="F34" i="2"/>
  <c r="F28" i="1"/>
  <c r="F16" i="1"/>
  <c r="H25" i="1"/>
  <c r="J25" i="1" s="1"/>
  <c r="E27" i="1"/>
  <c r="F31" i="1"/>
  <c r="E33" i="1"/>
  <c r="F35" i="1"/>
  <c r="C37" i="1"/>
  <c r="C36" i="3" s="1"/>
  <c r="H44" i="1"/>
  <c r="J44" i="1" s="1"/>
  <c r="F46" i="1"/>
  <c r="B48" i="1"/>
  <c r="B47" i="3" s="1"/>
  <c r="E55" i="1"/>
  <c r="E57" i="1"/>
  <c r="A8" i="2"/>
  <c r="A51" i="2"/>
  <c r="L5" i="3"/>
  <c r="F30" i="1"/>
  <c r="F56" i="1"/>
  <c r="G2" i="1"/>
  <c r="T17" i="3"/>
  <c r="F11" i="1"/>
  <c r="H16" i="1"/>
  <c r="J16" i="1" s="1"/>
  <c r="E18" i="1"/>
  <c r="E20" i="1"/>
  <c r="B22" i="1"/>
  <c r="B21" i="3" s="1"/>
  <c r="B24" i="1"/>
  <c r="F27" i="1"/>
  <c r="F33" i="1"/>
  <c r="E37" i="1"/>
  <c r="B39" i="1"/>
  <c r="B43" i="1"/>
  <c r="B42" i="3" s="1"/>
  <c r="H46" i="1"/>
  <c r="J46" i="1" s="1"/>
  <c r="C48" i="1"/>
  <c r="C47" i="3" s="1"/>
  <c r="B50" i="1"/>
  <c r="B49" i="3" s="1"/>
  <c r="A10" i="2"/>
  <c r="A57" i="2"/>
  <c r="S13" i="3"/>
  <c r="P44" i="3"/>
  <c r="F18" i="1"/>
  <c r="F20" i="1"/>
  <c r="C22" i="1"/>
  <c r="C21" i="3" s="1"/>
  <c r="C24" i="1"/>
  <c r="C23" i="3" s="1"/>
  <c r="F37" i="1"/>
  <c r="C39" i="1"/>
  <c r="C38" i="3" s="1"/>
  <c r="B41" i="1"/>
  <c r="B40" i="3" s="1"/>
  <c r="C43" i="1"/>
  <c r="C42" i="3" s="1"/>
  <c r="E48" i="1"/>
  <c r="E50" i="1"/>
  <c r="B52" i="1"/>
  <c r="B58" i="1"/>
  <c r="B57" i="3" s="1"/>
  <c r="A12" i="2"/>
  <c r="A60" i="2"/>
  <c r="M10" i="3"/>
  <c r="F13" i="1"/>
  <c r="C15" i="1"/>
  <c r="C14" i="3" s="1"/>
  <c r="E22" i="1"/>
  <c r="E24" i="1"/>
  <c r="B26" i="1"/>
  <c r="B25" i="3" s="1"/>
  <c r="B30" i="1"/>
  <c r="B29" i="3" s="1"/>
  <c r="B34" i="1"/>
  <c r="B33" i="3" s="1"/>
  <c r="E39" i="1"/>
  <c r="E41" i="1"/>
  <c r="E43" i="1"/>
  <c r="B45" i="1"/>
  <c r="B44" i="3" s="1"/>
  <c r="F50" i="1"/>
  <c r="C52" i="1"/>
  <c r="C51" i="3" s="1"/>
  <c r="C58" i="1"/>
  <c r="C57" i="3" s="1"/>
  <c r="A14" i="2"/>
  <c r="A2" i="3"/>
  <c r="T7" i="3"/>
  <c r="P10" i="3"/>
  <c r="I6" i="1"/>
  <c r="H6" i="1"/>
  <c r="J6" i="1" s="1"/>
  <c r="I23" i="1"/>
  <c r="H23" i="1"/>
  <c r="J23" i="1" s="1"/>
  <c r="H18" i="1"/>
  <c r="J18" i="1" s="1"/>
  <c r="F43" i="4"/>
  <c r="T30" i="3"/>
  <c r="K42" i="3"/>
  <c r="E48" i="4"/>
  <c r="D53" i="4"/>
  <c r="K29" i="3"/>
  <c r="F5" i="4"/>
  <c r="B7" i="5"/>
  <c r="C10" i="4"/>
  <c r="P35" i="3"/>
  <c r="E13" i="4"/>
  <c r="H28" i="1"/>
  <c r="J28" i="1" s="1"/>
  <c r="J57" i="3"/>
  <c r="N55" i="3"/>
  <c r="J54" i="3"/>
  <c r="N52" i="3"/>
  <c r="J51" i="3"/>
  <c r="N49" i="3"/>
  <c r="N46" i="3"/>
  <c r="R44" i="3"/>
  <c r="M55" i="3"/>
  <c r="M52" i="3"/>
  <c r="M49" i="3"/>
  <c r="M46" i="3"/>
  <c r="Q44" i="3"/>
  <c r="M43" i="3"/>
  <c r="P56" i="3"/>
  <c r="L55" i="3"/>
  <c r="P53" i="3"/>
  <c r="L52" i="3"/>
  <c r="P50" i="3"/>
  <c r="L49" i="3"/>
  <c r="L46" i="3"/>
  <c r="T45" i="3"/>
  <c r="G57" i="3"/>
  <c r="O56" i="3"/>
  <c r="K55" i="3"/>
  <c r="G54" i="3"/>
  <c r="O53" i="3"/>
  <c r="K52" i="3"/>
  <c r="G51" i="3"/>
  <c r="O50" i="3"/>
  <c r="K49" i="3"/>
  <c r="G48" i="3"/>
  <c r="K46" i="3"/>
  <c r="S45" i="3"/>
  <c r="G45" i="3"/>
  <c r="O44" i="3"/>
  <c r="G42" i="3"/>
  <c r="K40" i="3"/>
  <c r="S39" i="3"/>
  <c r="G39" i="3"/>
  <c r="O38" i="3"/>
  <c r="G36" i="3"/>
  <c r="O35" i="3"/>
  <c r="K34" i="3"/>
  <c r="G33" i="3"/>
  <c r="O32" i="3"/>
  <c r="K31" i="3"/>
  <c r="S30" i="3"/>
  <c r="G30" i="3"/>
  <c r="S27" i="3"/>
  <c r="G27" i="3"/>
  <c r="S24" i="3"/>
  <c r="G24" i="3"/>
  <c r="S21" i="3"/>
  <c r="G21" i="3"/>
  <c r="S18" i="3"/>
  <c r="G18" i="3"/>
  <c r="O17" i="3"/>
  <c r="S15" i="3"/>
  <c r="G15" i="3"/>
  <c r="O14" i="3"/>
  <c r="S12" i="3"/>
  <c r="G12" i="3"/>
  <c r="O11" i="3"/>
  <c r="S9" i="3"/>
  <c r="G9" i="3"/>
  <c r="O8" i="3"/>
  <c r="S6" i="3"/>
  <c r="G6" i="3"/>
  <c r="O5" i="3"/>
  <c r="F58" i="1"/>
  <c r="N56" i="3"/>
  <c r="J55" i="3"/>
  <c r="N53" i="3"/>
  <c r="J52" i="3"/>
  <c r="N50" i="3"/>
  <c r="J49" i="3"/>
  <c r="J46" i="3"/>
  <c r="R45" i="3"/>
  <c r="N41" i="3"/>
  <c r="R39" i="3"/>
  <c r="N38" i="3"/>
  <c r="R36" i="3"/>
  <c r="N35" i="3"/>
  <c r="J34" i="3"/>
  <c r="R33" i="3"/>
  <c r="N32" i="3"/>
  <c r="N17" i="3"/>
  <c r="R15" i="3"/>
  <c r="N14" i="3"/>
  <c r="R12" i="3"/>
  <c r="N11" i="3"/>
  <c r="R9" i="3"/>
  <c r="N8" i="3"/>
  <c r="O57" i="3"/>
  <c r="L54" i="3"/>
  <c r="L50" i="3"/>
  <c r="O48" i="3"/>
  <c r="K44" i="3"/>
  <c r="Q43" i="3"/>
  <c r="M41" i="3"/>
  <c r="T40" i="3"/>
  <c r="G40" i="3"/>
  <c r="M39" i="3"/>
  <c r="T38" i="3"/>
  <c r="M37" i="3"/>
  <c r="T36" i="3"/>
  <c r="K35" i="3"/>
  <c r="R34" i="3"/>
  <c r="Q32" i="3"/>
  <c r="N57" i="3"/>
  <c r="K54" i="3"/>
  <c r="K50" i="3"/>
  <c r="P49" i="3"/>
  <c r="N48" i="3"/>
  <c r="P43" i="3"/>
  <c r="L41" i="3"/>
  <c r="S40" i="3"/>
  <c r="L39" i="3"/>
  <c r="S38" i="3"/>
  <c r="L37" i="3"/>
  <c r="Q36" i="3"/>
  <c r="J35" i="3"/>
  <c r="Q34" i="3"/>
  <c r="P32" i="3"/>
  <c r="N30" i="3"/>
  <c r="G29" i="3"/>
  <c r="T22" i="3"/>
  <c r="S17" i="3"/>
  <c r="L16" i="3"/>
  <c r="T15" i="3"/>
  <c r="R13" i="3"/>
  <c r="L12" i="3"/>
  <c r="S11" i="3"/>
  <c r="L10" i="3"/>
  <c r="T9" i="3"/>
  <c r="S7" i="3"/>
  <c r="M57" i="3"/>
  <c r="M53" i="3"/>
  <c r="J50" i="3"/>
  <c r="O49" i="3"/>
  <c r="M48" i="3"/>
  <c r="T47" i="3"/>
  <c r="O43" i="3"/>
  <c r="T42" i="3"/>
  <c r="K41" i="3"/>
  <c r="R40" i="3"/>
  <c r="K39" i="3"/>
  <c r="R38" i="3"/>
  <c r="P36" i="3"/>
  <c r="P34" i="3"/>
  <c r="M32" i="3"/>
  <c r="T31" i="3"/>
  <c r="G31" i="3"/>
  <c r="M30" i="3"/>
  <c r="T29" i="3"/>
  <c r="S22" i="3"/>
  <c r="G22" i="3"/>
  <c r="R17" i="3"/>
  <c r="Q15" i="3"/>
  <c r="Q13" i="3"/>
  <c r="R11" i="3"/>
  <c r="Q9" i="3"/>
  <c r="R7" i="3"/>
  <c r="M6" i="3"/>
  <c r="L57" i="3"/>
  <c r="L53" i="3"/>
  <c r="L48" i="3"/>
  <c r="S47" i="3"/>
  <c r="Q45" i="3"/>
  <c r="N43" i="3"/>
  <c r="Q42" i="3"/>
  <c r="Q40" i="3"/>
  <c r="Q38" i="3"/>
  <c r="O36" i="3"/>
  <c r="O34" i="3"/>
  <c r="L32" i="3"/>
  <c r="S31" i="3"/>
  <c r="L30" i="3"/>
  <c r="S29" i="3"/>
  <c r="T27" i="3"/>
  <c r="T20" i="3"/>
  <c r="Q17" i="3"/>
  <c r="P15" i="3"/>
  <c r="P13" i="3"/>
  <c r="Q11" i="3"/>
  <c r="P9" i="3"/>
  <c r="Q7" i="3"/>
  <c r="L6" i="3"/>
  <c r="S5" i="3"/>
  <c r="K57" i="3"/>
  <c r="K53" i="3"/>
  <c r="P52" i="3"/>
  <c r="K48" i="3"/>
  <c r="M47" i="3"/>
  <c r="P45" i="3"/>
  <c r="G44" i="3"/>
  <c r="P42" i="3"/>
  <c r="P40" i="3"/>
  <c r="P38" i="3"/>
  <c r="N36" i="3"/>
  <c r="G35" i="3"/>
  <c r="N34" i="3"/>
  <c r="T33" i="3"/>
  <c r="K32" i="3"/>
  <c r="R31" i="3"/>
  <c r="K30" i="3"/>
  <c r="R29" i="3"/>
  <c r="T25" i="3"/>
  <c r="S20" i="3"/>
  <c r="G20" i="3"/>
  <c r="P17" i="3"/>
  <c r="O15" i="3"/>
  <c r="O13" i="3"/>
  <c r="P11" i="3"/>
  <c r="O9" i="3"/>
  <c r="P7" i="3"/>
  <c r="R5" i="3"/>
  <c r="M56" i="3"/>
  <c r="J53" i="3"/>
  <c r="O52" i="3"/>
  <c r="P51" i="3"/>
  <c r="G50" i="3"/>
  <c r="G49" i="3"/>
  <c r="L47" i="3"/>
  <c r="Q46" i="3"/>
  <c r="O45" i="3"/>
  <c r="O42" i="3"/>
  <c r="O40" i="3"/>
  <c r="M38" i="3"/>
  <c r="T37" i="3"/>
  <c r="G37" i="3"/>
  <c r="M36" i="3"/>
  <c r="M34" i="3"/>
  <c r="Q33" i="3"/>
  <c r="J32" i="3"/>
  <c r="Q31" i="3"/>
  <c r="Q29" i="3"/>
  <c r="S25" i="3"/>
  <c r="G25" i="3"/>
  <c r="M17" i="3"/>
  <c r="T16" i="3"/>
  <c r="N15" i="3"/>
  <c r="G14" i="3"/>
  <c r="N13" i="3"/>
  <c r="M11" i="3"/>
  <c r="T10" i="3"/>
  <c r="N9" i="3"/>
  <c r="G8" i="3"/>
  <c r="O7" i="3"/>
  <c r="Q5" i="3"/>
  <c r="L56" i="3"/>
  <c r="O51" i="3"/>
  <c r="K47" i="3"/>
  <c r="P46" i="3"/>
  <c r="N45" i="3"/>
  <c r="N42" i="3"/>
  <c r="G41" i="3"/>
  <c r="N40" i="3"/>
  <c r="L38" i="3"/>
  <c r="S37" i="3"/>
  <c r="L34" i="3"/>
  <c r="P33" i="3"/>
  <c r="P31" i="3"/>
  <c r="P29" i="3"/>
  <c r="T23" i="3"/>
  <c r="T18" i="3"/>
  <c r="L17" i="3"/>
  <c r="S16" i="3"/>
  <c r="G16" i="3"/>
  <c r="M15" i="3"/>
  <c r="T14" i="3"/>
  <c r="M13" i="3"/>
  <c r="L11" i="3"/>
  <c r="S10" i="3"/>
  <c r="G10" i="3"/>
  <c r="M9" i="3"/>
  <c r="T8" i="3"/>
  <c r="N7" i="3"/>
  <c r="K56" i="3"/>
  <c r="P55" i="3"/>
  <c r="N51" i="3"/>
  <c r="O46" i="3"/>
  <c r="M45" i="3"/>
  <c r="T44" i="3"/>
  <c r="M42" i="3"/>
  <c r="M40" i="3"/>
  <c r="T39" i="3"/>
  <c r="K38" i="3"/>
  <c r="R37" i="3"/>
  <c r="K36" i="3"/>
  <c r="O33" i="3"/>
  <c r="O31" i="3"/>
  <c r="M29" i="3"/>
  <c r="T28" i="3"/>
  <c r="S23" i="3"/>
  <c r="G23" i="3"/>
  <c r="R16" i="3"/>
  <c r="L15" i="3"/>
  <c r="S14" i="3"/>
  <c r="L13" i="3"/>
  <c r="T12" i="3"/>
  <c r="R10" i="3"/>
  <c r="L9" i="3"/>
  <c r="S8" i="3"/>
  <c r="M7" i="3"/>
  <c r="N5" i="3"/>
  <c r="J56" i="3"/>
  <c r="O55" i="3"/>
  <c r="P54" i="3"/>
  <c r="G53" i="3"/>
  <c r="G52" i="3"/>
  <c r="M51" i="3"/>
  <c r="L45" i="3"/>
  <c r="S44" i="3"/>
  <c r="G43" i="3"/>
  <c r="L42" i="3"/>
  <c r="S41" i="3"/>
  <c r="L40" i="3"/>
  <c r="Q39" i="3"/>
  <c r="J38" i="3"/>
  <c r="Q37" i="3"/>
  <c r="Q35" i="3"/>
  <c r="N33" i="3"/>
  <c r="G32" i="3"/>
  <c r="N31" i="3"/>
  <c r="L29" i="3"/>
  <c r="S28" i="3"/>
  <c r="G28" i="3"/>
  <c r="Q16" i="3"/>
  <c r="R14" i="3"/>
  <c r="Q12" i="3"/>
  <c r="Q10" i="3"/>
  <c r="R8" i="3"/>
  <c r="L7" i="3"/>
  <c r="T6" i="3"/>
  <c r="M5" i="3"/>
  <c r="N54" i="3"/>
  <c r="K51" i="3"/>
  <c r="Q48" i="3"/>
  <c r="G47" i="3"/>
  <c r="G46" i="3"/>
  <c r="M44" i="3"/>
  <c r="S43" i="3"/>
  <c r="Q41" i="3"/>
  <c r="O39" i="3"/>
  <c r="O37" i="3"/>
  <c r="M35" i="3"/>
  <c r="T34" i="3"/>
  <c r="L33" i="3"/>
  <c r="S32" i="3"/>
  <c r="L31" i="3"/>
  <c r="Q30" i="3"/>
  <c r="S26" i="3"/>
  <c r="G26" i="3"/>
  <c r="T19" i="3"/>
  <c r="O16" i="3"/>
  <c r="P14" i="3"/>
  <c r="O12" i="3"/>
  <c r="O10" i="3"/>
  <c r="P8" i="3"/>
  <c r="Q6" i="3"/>
  <c r="F57" i="1"/>
  <c r="F54" i="1"/>
  <c r="F51" i="1"/>
  <c r="F48" i="1"/>
  <c r="F45" i="1"/>
  <c r="F42" i="1"/>
  <c r="F39" i="1"/>
  <c r="P57" i="3"/>
  <c r="G56" i="3"/>
  <c r="G55" i="3"/>
  <c r="M54" i="3"/>
  <c r="M50" i="3"/>
  <c r="P48" i="3"/>
  <c r="L44" i="3"/>
  <c r="R43" i="3"/>
  <c r="P41" i="3"/>
  <c r="N39" i="3"/>
  <c r="G38" i="3"/>
  <c r="N37" i="3"/>
  <c r="L35" i="3"/>
  <c r="S34" i="3"/>
  <c r="K33" i="3"/>
  <c r="R32" i="3"/>
  <c r="P30" i="3"/>
  <c r="S19" i="3"/>
  <c r="G19" i="3"/>
  <c r="G17" i="3"/>
  <c r="N16" i="3"/>
  <c r="M14" i="3"/>
  <c r="T13" i="3"/>
  <c r="N12" i="3"/>
  <c r="G11" i="3"/>
  <c r="N10" i="3"/>
  <c r="M8" i="3"/>
  <c r="P6" i="3"/>
  <c r="P5" i="3"/>
  <c r="O6" i="3"/>
  <c r="M16" i="3"/>
  <c r="M33" i="3"/>
  <c r="P39" i="3"/>
  <c r="H33" i="1"/>
  <c r="J33" i="1" s="1"/>
  <c r="F55" i="1"/>
  <c r="B57" i="1"/>
  <c r="A31" i="2"/>
  <c r="A4" i="3"/>
  <c r="T5" i="3"/>
  <c r="R6" i="3"/>
  <c r="M12" i="3"/>
  <c r="P16" i="3"/>
  <c r="T26" i="3"/>
  <c r="M31" i="3"/>
  <c r="P37" i="3"/>
  <c r="R41" i="3"/>
  <c r="O54" i="3"/>
  <c r="B6" i="5"/>
  <c r="B5" i="5"/>
  <c r="F53" i="4"/>
  <c r="D51" i="4"/>
  <c r="E46" i="4"/>
  <c r="C44" i="4"/>
  <c r="F41" i="4"/>
  <c r="D39" i="4"/>
  <c r="B4" i="5"/>
  <c r="A2" i="5"/>
  <c r="D4" i="6"/>
  <c r="A1" i="5"/>
  <c r="E55" i="4"/>
  <c r="C53" i="4"/>
  <c r="F50" i="4"/>
  <c r="D48" i="4"/>
  <c r="E43" i="4"/>
  <c r="C41" i="4"/>
  <c r="F38" i="4"/>
  <c r="D36" i="4"/>
  <c r="E31" i="4"/>
  <c r="C29" i="4"/>
  <c r="F26" i="4"/>
  <c r="D24" i="4"/>
  <c r="E19" i="4"/>
  <c r="C17" i="4"/>
  <c r="F14" i="4"/>
  <c r="D12" i="4"/>
  <c r="E7" i="4"/>
  <c r="C5" i="4"/>
  <c r="C4" i="6"/>
  <c r="F57" i="4"/>
  <c r="D55" i="4"/>
  <c r="E50" i="4"/>
  <c r="C48" i="4"/>
  <c r="F45" i="4"/>
  <c r="D43" i="4"/>
  <c r="E38" i="4"/>
  <c r="C36" i="4"/>
  <c r="F33" i="4"/>
  <c r="D31" i="4"/>
  <c r="E26" i="4"/>
  <c r="C24" i="4"/>
  <c r="F21" i="4"/>
  <c r="D19" i="4"/>
  <c r="E14" i="4"/>
  <c r="C12" i="4"/>
  <c r="F9" i="4"/>
  <c r="D7" i="4"/>
  <c r="B4" i="6"/>
  <c r="E57" i="4"/>
  <c r="C55" i="4"/>
  <c r="F52" i="4"/>
  <c r="D50" i="4"/>
  <c r="E45" i="4"/>
  <c r="C43" i="4"/>
  <c r="F40" i="4"/>
  <c r="D38" i="4"/>
  <c r="E33" i="4"/>
  <c r="C31" i="4"/>
  <c r="F28" i="4"/>
  <c r="D26" i="4"/>
  <c r="E21" i="4"/>
  <c r="C19" i="4"/>
  <c r="F16" i="4"/>
  <c r="D14" i="4"/>
  <c r="E9" i="4"/>
  <c r="C7" i="4"/>
  <c r="F4" i="4"/>
  <c r="A1" i="6"/>
  <c r="D57" i="4"/>
  <c r="E52" i="4"/>
  <c r="C50" i="4"/>
  <c r="F47" i="4"/>
  <c r="D45" i="4"/>
  <c r="E40" i="4"/>
  <c r="C38" i="4"/>
  <c r="F35" i="4"/>
  <c r="D33" i="4"/>
  <c r="E28" i="4"/>
  <c r="C26" i="4"/>
  <c r="F23" i="4"/>
  <c r="D21" i="4"/>
  <c r="E16" i="4"/>
  <c r="C14" i="4"/>
  <c r="F11" i="4"/>
  <c r="D9" i="4"/>
  <c r="E4" i="4"/>
  <c r="I4" i="3"/>
  <c r="A58" i="2"/>
  <c r="A9" i="2"/>
  <c r="A11" i="5"/>
  <c r="C57" i="4"/>
  <c r="F54" i="4"/>
  <c r="D52" i="4"/>
  <c r="E47" i="4"/>
  <c r="C45" i="4"/>
  <c r="F42" i="4"/>
  <c r="D40" i="4"/>
  <c r="E35" i="4"/>
  <c r="C33" i="4"/>
  <c r="F30" i="4"/>
  <c r="D28" i="4"/>
  <c r="E23" i="4"/>
  <c r="C21" i="4"/>
  <c r="F18" i="4"/>
  <c r="D16" i="4"/>
  <c r="E11" i="4"/>
  <c r="C9" i="4"/>
  <c r="F6" i="4"/>
  <c r="D4" i="4"/>
  <c r="E56" i="4"/>
  <c r="F51" i="4"/>
  <c r="C42" i="4"/>
  <c r="D37" i="4"/>
  <c r="E29" i="4"/>
  <c r="C25" i="4"/>
  <c r="F20" i="4"/>
  <c r="D17" i="4"/>
  <c r="E8" i="4"/>
  <c r="C4" i="4"/>
  <c r="D56" i="4"/>
  <c r="E51" i="4"/>
  <c r="F46" i="4"/>
  <c r="C37" i="4"/>
  <c r="F32" i="4"/>
  <c r="D29" i="4"/>
  <c r="E20" i="4"/>
  <c r="C16" i="4"/>
  <c r="F12" i="4"/>
  <c r="D8" i="4"/>
  <c r="B4" i="4"/>
  <c r="C51" i="4"/>
  <c r="D46" i="4"/>
  <c r="E41" i="4"/>
  <c r="E32" i="4"/>
  <c r="C28" i="4"/>
  <c r="F24" i="4"/>
  <c r="D20" i="4"/>
  <c r="E12" i="4"/>
  <c r="C8" i="4"/>
  <c r="A4" i="4"/>
  <c r="F55" i="4"/>
  <c r="C46" i="4"/>
  <c r="D41" i="4"/>
  <c r="F36" i="4"/>
  <c r="D32" i="4"/>
  <c r="E24" i="4"/>
  <c r="C20" i="4"/>
  <c r="F15" i="4"/>
  <c r="D11" i="4"/>
  <c r="A1" i="3"/>
  <c r="E54" i="4"/>
  <c r="F49" i="4"/>
  <c r="C40" i="4"/>
  <c r="E36" i="4"/>
  <c r="C32" i="4"/>
  <c r="F27" i="4"/>
  <c r="D23" i="4"/>
  <c r="E15" i="4"/>
  <c r="C11" i="4"/>
  <c r="F7" i="4"/>
  <c r="A2" i="4"/>
  <c r="D54" i="4"/>
  <c r="E49" i="4"/>
  <c r="F44" i="4"/>
  <c r="D35" i="4"/>
  <c r="E27" i="4"/>
  <c r="C23" i="4"/>
  <c r="F19" i="4"/>
  <c r="D15" i="4"/>
  <c r="E6" i="4"/>
  <c r="A1" i="4"/>
  <c r="B57" i="2"/>
  <c r="C54" i="4"/>
  <c r="D49" i="4"/>
  <c r="E44" i="4"/>
  <c r="F39" i="4"/>
  <c r="C35" i="4"/>
  <c r="F31" i="4"/>
  <c r="D27" i="4"/>
  <c r="E18" i="4"/>
  <c r="C15" i="4"/>
  <c r="F10" i="4"/>
  <c r="D6" i="4"/>
  <c r="B9" i="5"/>
  <c r="C49" i="4"/>
  <c r="D44" i="4"/>
  <c r="E39" i="4"/>
  <c r="E30" i="4"/>
  <c r="C27" i="4"/>
  <c r="F22" i="4"/>
  <c r="D18" i="4"/>
  <c r="E10" i="4"/>
  <c r="C6" i="4"/>
  <c r="G4" i="3"/>
  <c r="A56" i="2"/>
  <c r="B8" i="5"/>
  <c r="E53" i="4"/>
  <c r="F48" i="4"/>
  <c r="C39" i="4"/>
  <c r="F34" i="4"/>
  <c r="D30" i="4"/>
  <c r="E22" i="4"/>
  <c r="C18" i="4"/>
  <c r="F13" i="4"/>
  <c r="D10" i="4"/>
  <c r="E4" i="3"/>
  <c r="A53" i="2"/>
  <c r="A4" i="2"/>
  <c r="C56" i="1"/>
  <c r="C55" i="3" s="1"/>
  <c r="C53" i="1"/>
  <c r="C52" i="3" s="1"/>
  <c r="C50" i="1"/>
  <c r="C49" i="3" s="1"/>
  <c r="C47" i="1"/>
  <c r="C46" i="3" s="1"/>
  <c r="C44" i="1"/>
  <c r="C43" i="3" s="1"/>
  <c r="C41" i="1"/>
  <c r="C40" i="3" s="1"/>
  <c r="C38" i="1"/>
  <c r="C37" i="3" s="1"/>
  <c r="C35" i="1"/>
  <c r="C34" i="3" s="1"/>
  <c r="C32" i="1"/>
  <c r="C31" i="3" s="1"/>
  <c r="C29" i="1"/>
  <c r="C28" i="3" s="1"/>
  <c r="C26" i="1"/>
  <c r="C25" i="3" s="1"/>
  <c r="C52" i="4"/>
  <c r="D47" i="4"/>
  <c r="E42" i="4"/>
  <c r="F37" i="4"/>
  <c r="D34" i="4"/>
  <c r="E25" i="4"/>
  <c r="C22" i="4"/>
  <c r="F17" i="4"/>
  <c r="D13" i="4"/>
  <c r="E5" i="4"/>
  <c r="C4" i="3"/>
  <c r="A47" i="2"/>
  <c r="A23" i="2"/>
  <c r="A1" i="2"/>
  <c r="F56" i="4"/>
  <c r="C47" i="4"/>
  <c r="D42" i="4"/>
  <c r="E37" i="4"/>
  <c r="C34" i="4"/>
  <c r="F29" i="4"/>
  <c r="D25" i="4"/>
  <c r="E17" i="4"/>
  <c r="C13" i="4"/>
  <c r="F8" i="4"/>
  <c r="D5" i="4"/>
  <c r="B4" i="3"/>
  <c r="G34" i="2"/>
  <c r="A20" i="2"/>
  <c r="A33" i="2"/>
  <c r="D4" i="3"/>
  <c r="P12" i="3"/>
  <c r="T21" i="3"/>
  <c r="T43" i="3"/>
  <c r="K45" i="3"/>
  <c r="F25" i="4"/>
  <c r="B38" i="3"/>
  <c r="G34" i="3"/>
  <c r="C30" i="4"/>
  <c r="H57" i="1"/>
  <c r="J57" i="1" s="1"/>
  <c r="G7" i="3"/>
  <c r="L8" i="3"/>
  <c r="E34" i="4"/>
  <c r="L36" i="3"/>
  <c r="T41" i="3"/>
  <c r="L43" i="3"/>
  <c r="S36" i="3"/>
  <c r="O41" i="3"/>
  <c r="R42" i="3"/>
  <c r="N47" i="3"/>
  <c r="S33" i="3"/>
  <c r="K37" i="3"/>
  <c r="S42" i="3"/>
  <c r="O47" i="3"/>
  <c r="N29" i="3"/>
  <c r="P47" i="3"/>
  <c r="R48" i="3"/>
  <c r="O29" i="3"/>
  <c r="K43" i="3"/>
  <c r="Q47" i="3"/>
  <c r="S48" i="3"/>
  <c r="R30" i="3"/>
  <c r="N44" i="3"/>
  <c r="R47" i="3"/>
  <c r="T48" i="3"/>
  <c r="B38" i="4" l="1"/>
  <c r="B17" i="4"/>
  <c r="B33" i="4"/>
  <c r="B15" i="4"/>
  <c r="B19" i="4"/>
  <c r="B19" i="3"/>
  <c r="B23" i="4"/>
  <c r="B51" i="4"/>
  <c r="B48" i="4"/>
  <c r="B32" i="4"/>
  <c r="B6" i="4"/>
  <c r="B9" i="4"/>
  <c r="B23" i="3"/>
  <c r="B35" i="4"/>
  <c r="B32" i="3"/>
  <c r="B11" i="4"/>
  <c r="B53" i="4"/>
  <c r="B8" i="4"/>
  <c r="B5" i="4"/>
  <c r="B20" i="4"/>
  <c r="B16" i="4"/>
  <c r="B51" i="3"/>
  <c r="B12" i="4"/>
  <c r="B41" i="4"/>
  <c r="B35" i="3"/>
  <c r="B45" i="4"/>
  <c r="B5" i="3"/>
  <c r="B20" i="3"/>
  <c r="B50" i="4"/>
  <c r="B29" i="4"/>
  <c r="B13" i="4"/>
  <c r="B7" i="4"/>
  <c r="B27" i="4"/>
  <c r="B12" i="3"/>
  <c r="B22" i="4"/>
  <c r="B18" i="4"/>
  <c r="B44" i="4"/>
  <c r="B30" i="4"/>
  <c r="B39" i="4"/>
  <c r="B6" i="3"/>
  <c r="B42" i="4"/>
  <c r="B43" i="4"/>
  <c r="B10" i="4"/>
  <c r="B47" i="4"/>
  <c r="B54" i="4"/>
  <c r="B28" i="4"/>
  <c r="B26" i="4"/>
  <c r="B24" i="4"/>
  <c r="B30" i="3"/>
  <c r="B36" i="4"/>
  <c r="B14" i="4"/>
  <c r="B21" i="4"/>
  <c r="B57" i="4"/>
  <c r="B31" i="4"/>
  <c r="B37" i="4"/>
  <c r="B49" i="4"/>
  <c r="B56" i="3"/>
  <c r="B56" i="4"/>
  <c r="B55" i="4"/>
  <c r="B52" i="4"/>
  <c r="B46" i="4"/>
  <c r="B34" i="4"/>
  <c r="B40" i="4"/>
  <c r="B25" i="4"/>
  <c r="J2"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3">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futureMetadata>
  <valueMetadata count="5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valueMetadata>
</metadata>
</file>

<file path=xl/sharedStrings.xml><?xml version="1.0" encoding="utf-8"?>
<sst xmlns="http://schemas.openxmlformats.org/spreadsheetml/2006/main" count="334" uniqueCount="163">
  <si>
    <t>130 × 10 mm</t>
  </si>
  <si>
    <t>Allegro</t>
  </si>
  <si>
    <t>260 × 6 mm</t>
  </si>
  <si>
    <t>60×25 mm</t>
  </si>
  <si>
    <t>2 cm</t>
  </si>
  <si>
    <t>0,6 cm</t>
  </si>
  <si>
    <t>1 cm</t>
  </si>
  <si>
    <t>0.8 cm</t>
  </si>
  <si>
    <t>NBP 177/A/NBP/2026 · 2026-09-11</t>
  </si>
  <si>
    <t>https://nbp.pl/statystyka-i-sprawozdawczosc/kursy/tabela-a/</t>
  </si>
  <si>
    <t>PLN</t>
  </si>
  <si>
    <t>Band</t>
  </si>
  <si>
    <t>Pending</t>
  </si>
  <si>
    <t>60x55x2mm</t>
  </si>
  <si>
    <t>DIVINE ALCHEMY BY IREN</t>
  </si>
  <si>
    <t xml:space="preserve">divinealchemybyiren@gmail.com  </t>
  </si>
  <si>
    <t>tel .48794721604 Irena Pietkiewicz</t>
  </si>
  <si>
    <t>National Candle Association — https://candles.org/candle-safety-tips/</t>
  </si>
  <si>
    <t>https://candles.org/research-studies/ncas-report-on-botanical-candles/</t>
  </si>
  <si>
    <t>EAN</t>
  </si>
  <si>
    <t>Deutsch</t>
  </si>
  <si>
    <t>CZ</t>
  </si>
  <si>
    <t>Polski</t>
  </si>
  <si>
    <t>PL</t>
  </si>
  <si>
    <t>AUTO</t>
  </si>
  <si>
    <t>PL / EN / DE / FR / ES / IT / CS / SK</t>
  </si>
  <si>
    <t>PLN / 1</t>
  </si>
  <si>
    <t>Polska</t>
  </si>
  <si>
    <t>EUR</t>
  </si>
  <si>
    <t>AT</t>
  </si>
  <si>
    <t>Österreich</t>
  </si>
  <si>
    <t>English</t>
  </si>
  <si>
    <t>GBP</t>
  </si>
  <si>
    <t>BE</t>
  </si>
  <si>
    <t>Belgique / België</t>
  </si>
  <si>
    <t>CZK</t>
  </si>
  <si>
    <t>BG</t>
  </si>
  <si>
    <t>България</t>
  </si>
  <si>
    <t>Français</t>
  </si>
  <si>
    <t>HUF</t>
  </si>
  <si>
    <t>HR</t>
  </si>
  <si>
    <t>Hrvatska</t>
  </si>
  <si>
    <t>Español</t>
  </si>
  <si>
    <t>SEK</t>
  </si>
  <si>
    <t>CY</t>
  </si>
  <si>
    <t>Κύπρος</t>
  </si>
  <si>
    <t>Italiano</t>
  </si>
  <si>
    <t>DKK</t>
  </si>
  <si>
    <t>Česko</t>
  </si>
  <si>
    <t>Čeština</t>
  </si>
  <si>
    <t>NOK</t>
  </si>
  <si>
    <t>DK</t>
  </si>
  <si>
    <t>Danmark</t>
  </si>
  <si>
    <t>Slovenčina</t>
  </si>
  <si>
    <t>CHF</t>
  </si>
  <si>
    <t>EE</t>
  </si>
  <si>
    <t>Eesti</t>
  </si>
  <si>
    <t>RON</t>
  </si>
  <si>
    <t>FI</t>
  </si>
  <si>
    <t>Suomi</t>
  </si>
  <si>
    <t>ISK</t>
  </si>
  <si>
    <t>FR</t>
  </si>
  <si>
    <t>France</t>
  </si>
  <si>
    <t>DE</t>
  </si>
  <si>
    <t>Deutschland</t>
  </si>
  <si>
    <t>GR</t>
  </si>
  <si>
    <t>Ελλάδα</t>
  </si>
  <si>
    <t>HU</t>
  </si>
  <si>
    <t>Magyarország</t>
  </si>
  <si>
    <t>IE</t>
  </si>
  <si>
    <t>Ireland / Éire</t>
  </si>
  <si>
    <t>IT</t>
  </si>
  <si>
    <t>Italia</t>
  </si>
  <si>
    <t>LV</t>
  </si>
  <si>
    <t>Latvija</t>
  </si>
  <si>
    <t>ETA Innovations Research Hub · RD/2025/LU/00344</t>
  </si>
  <si>
    <t>LT</t>
  </si>
  <si>
    <t>Lietuva</t>
  </si>
  <si>
    <t>LU</t>
  </si>
  <si>
    <t>Luxembourg</t>
  </si>
  <si>
    <t>MT</t>
  </si>
  <si>
    <t>Malta</t>
  </si>
  <si>
    <t>NL</t>
  </si>
  <si>
    <t>Nederland</t>
  </si>
  <si>
    <t>2,9 ± 1</t>
  </si>
  <si>
    <t>PT</t>
  </si>
  <si>
    <t>Portugal</t>
  </si>
  <si>
    <t>RO</t>
  </si>
  <si>
    <t>România</t>
  </si>
  <si>
    <t>0,6 ± 0,1</t>
  </si>
  <si>
    <t>SK</t>
  </si>
  <si>
    <t>Slovensko</t>
  </si>
  <si>
    <t>SI</t>
  </si>
  <si>
    <t>Slovenija</t>
  </si>
  <si>
    <t>ES</t>
  </si>
  <si>
    <t>España</t>
  </si>
  <si>
    <t>SE</t>
  </si>
  <si>
    <t>Sverige</t>
  </si>
  <si>
    <t>GB</t>
  </si>
  <si>
    <t>United Kingdom</t>
  </si>
  <si>
    <t>NO</t>
  </si>
  <si>
    <t>Norge</t>
  </si>
  <si>
    <t>CH</t>
  </si>
  <si>
    <t>Schweiz / Suisse</t>
  </si>
  <si>
    <t>IS</t>
  </si>
  <si>
    <t>Ísland</t>
  </si>
  <si>
    <t>LI</t>
  </si>
  <si>
    <t>Liechtenstein</t>
  </si>
  <si>
    <t>5902138542870</t>
  </si>
  <si>
    <t>5902138542887</t>
  </si>
  <si>
    <t>5902138542856</t>
  </si>
  <si>
    <t>5902138542849</t>
  </si>
  <si>
    <t>5902138542818</t>
  </si>
  <si>
    <t>5903716470011</t>
  </si>
  <si>
    <t>5902138542863</t>
  </si>
  <si>
    <t>5902138542825</t>
  </si>
  <si>
    <t>5902138542832</t>
  </si>
  <si>
    <t>5903716470004</t>
  </si>
  <si>
    <t>5903716470028</t>
  </si>
  <si>
    <t>5902138542894</t>
  </si>
  <si>
    <t>5902138542801</t>
  </si>
  <si>
    <t>5903716470431</t>
  </si>
  <si>
    <t>5903716470400</t>
  </si>
  <si>
    <t>5903716470394</t>
  </si>
  <si>
    <t>5903716470462</t>
  </si>
  <si>
    <t>5903716470387</t>
  </si>
  <si>
    <t>5903716470370</t>
  </si>
  <si>
    <t>5903716470455</t>
  </si>
  <si>
    <t>5903716470417</t>
  </si>
  <si>
    <t>5903716470424</t>
  </si>
  <si>
    <t>5903716470363</t>
  </si>
  <si>
    <t>5903716470448</t>
  </si>
  <si>
    <t>5903716470134</t>
  </si>
  <si>
    <t>5903716470233</t>
  </si>
  <si>
    <t>5903716470127</t>
  </si>
  <si>
    <t>5903716470196</t>
  </si>
  <si>
    <t>5903716470325</t>
  </si>
  <si>
    <t>5903716470059</t>
  </si>
  <si>
    <t>5903716470356</t>
  </si>
  <si>
    <t>5903716470141</t>
  </si>
  <si>
    <t>5903716470240</t>
  </si>
  <si>
    <t>5903716470202</t>
  </si>
  <si>
    <t>5903716470158</t>
  </si>
  <si>
    <t>5903716470332</t>
  </si>
  <si>
    <t>5903716470042</t>
  </si>
  <si>
    <t>5903716470035</t>
  </si>
  <si>
    <t>5903716470110</t>
  </si>
  <si>
    <t>5903716470318</t>
  </si>
  <si>
    <t>5903716470165</t>
  </si>
  <si>
    <t>5903716470349</t>
  </si>
  <si>
    <t>5903716470103</t>
  </si>
  <si>
    <t>5903716470226</t>
  </si>
  <si>
    <t>5903716470288</t>
  </si>
  <si>
    <t>5903716470271</t>
  </si>
  <si>
    <t>5903716470257</t>
  </si>
  <si>
    <t>5903716470264</t>
  </si>
  <si>
    <t>5903716470172</t>
  </si>
  <si>
    <t>5903716470097</t>
  </si>
  <si>
    <t>5903716470073</t>
  </si>
  <si>
    <t>5903716470080</t>
  </si>
  <si>
    <t>5903716470066</t>
  </si>
  <si>
    <t>Step</t>
  </si>
  <si>
    <t>150х20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</si>
</sst>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00"/>
  </numFmts>
  <fonts count="32">
    <font>
      <sz val="10"/>
      <name val="Arial"/>
      <family val="2"/>
      <charset val="238"/>
    </font>
    <font>
      <sz val="11"/>
      <name val="Calibri"/>
      <charset val="1"/>
    </font>
    <font>
      <b/>
      <sz val="16"/>
      <name val="Arial"/>
      <charset val="1"/>
    </font>
    <font>
      <b/>
      <sz val="10"/>
      <name val="Arial"/>
      <charset val="1"/>
    </font>
    <font>
      <sz val="10"/>
      <name val="Arial"/>
      <charset val="1"/>
    </font>
    <font>
      <sz val="10"/>
      <color rgb="FF17478F"/>
      <name val="Arial"/>
      <charset val="1"/>
    </font>
    <font>
      <sz val="10"/>
      <color rgb="FF657A70"/>
      <name val="Arial"/>
      <charset val="1"/>
    </font>
    <font>
      <sz val="10"/>
      <color rgb="FF0000FF"/>
      <name val="Arial"/>
      <charset val="1"/>
    </font>
    <font>
      <sz val="16"/>
      <name val="Arial"/>
      <charset val="1"/>
    </font>
    <font>
      <sz val="10"/>
      <color rgb="FFFFFFFF"/>
      <name val="Arial"/>
      <charset val="1"/>
    </font>
    <font>
      <u/>
      <sz val="10"/>
      <color theme="10"/>
      <name val="Arial"/>
      <family val="2"/>
      <charset val="238"/>
    </font>
    <font>
      <b/>
      <sz val="16"/>
      <name val="Aptos Serif"/>
      <family val="1"/>
    </font>
    <font>
      <sz val="10"/>
      <name val="Arial"/>
    </font>
    <font>
      <sz val="10"/>
      <color rgb="FFFFFFFF"/>
      <name val="Arial"/>
      <family val="2"/>
      <charset val="238"/>
    </font>
    <font>
      <sz val="10"/>
      <name val="Arial"/>
    </font>
    <font>
      <b/>
      <sz val="10"/>
      <name val="Arial"/>
    </font>
    <font>
      <sz val="10"/>
      <name val="Arial"/>
    </font>
    <font>
      <sz val="10"/>
      <color rgb="FF17478F"/>
      <name val="Arial"/>
    </font>
    <font>
      <b/>
      <sz val="10"/>
      <color rgb="FFFFFFFF"/>
      <name val="Arial"/>
    </font>
    <font>
      <sz val="16"/>
      <name val="Arial"/>
    </font>
    <font>
      <sz val="10"/>
      <color rgb="FFFFFFFF"/>
      <name val="Arial"/>
    </font>
    <font>
      <sz val="10"/>
      <color theme="10"/>
      <name val="Arial"/>
    </font>
    <font>
      <sz val="10"/>
      <name val="Arial"/>
    </font>
    <font>
      <sz val="16"/>
      <name val="Arial"/>
    </font>
    <font>
      <b/>
      <sz val="10"/>
      <color rgb="FFFFFFFF"/>
      <name val="Arial"/>
    </font>
    <font>
      <sz val="10"/>
      <color rgb="FF126A8C"/>
      <name val="Arial"/>
    </font>
    <font>
      <sz val="10"/>
      <color rgb="FF666666"/>
      <name val="Arial"/>
    </font>
    <font>
      <sz val="10"/>
      <color theme="0"/>
      <name val="Arial Unicode MS"/>
    </font>
    <font>
      <sz val="10"/>
      <color theme="3" tint="0.249977111117893"/>
      <name val="Arial"/>
    </font>
    <font>
      <b/>
      <sz val="10"/>
      <color rgb="FF17478F"/>
      <name val="Arial"/>
    </font>
    <font>
      <sz val="9"/>
      <name val="Arial"/>
    </font>
    <font>
      <sz val="8"/>
      <name val="Arial"/>
      <family val="2"/>
      <charset val="238"/>
    </font>
  </fonts>
  <fills count="22">
    <fill>
      <patternFill patternType="none"/>
    </fill>
    <fill>
      <patternFill patternType="gray125"/>
    </fill>
    <fill>
      <patternFill patternType="solid">
        <fgColor rgb="FFFFF1C9"/>
        <bgColor rgb="FFF0F5F2"/>
      </patternFill>
    </fill>
    <fill>
      <patternFill patternType="solid">
        <fgColor rgb="FFE5ECE8"/>
        <bgColor rgb="FFF0F5F2"/>
      </patternFill>
    </fill>
    <fill>
      <patternFill patternType="solid">
        <fgColor rgb="FFF0F5F2"/>
        <bgColor rgb="FFE5ECE8"/>
      </patternFill>
    </fill>
    <fill>
      <patternFill patternType="solid">
        <fgColor rgb="FFFFE9BD"/>
        <bgColor rgb="FFF0F5F2"/>
      </patternFill>
    </fill>
    <fill>
      <patternFill patternType="none"/>
    </fill>
    <fill>
      <patternFill patternType="solid">
        <fgColor rgb="FFEFF5F2"/>
      </patternFill>
    </fill>
    <fill>
      <patternFill patternType="solid">
        <fgColor theme="6" tint="-0.249977111117893"/>
        <bgColor indexed="64"/>
      </patternFill>
    </fill>
    <fill>
      <patternFill patternType="solid">
        <fgColor theme="6" tint="-0.249977111117893"/>
        <bgColor rgb="FF17478F"/>
      </patternFill>
    </fill>
    <fill>
      <patternFill patternType="none"/>
    </fill>
    <fill>
      <patternFill patternType="solid">
        <fgColor rgb="FFFFF1C9"/>
      </patternFill>
    </fill>
    <fill>
      <patternFill patternType="solid">
        <fgColor rgb="FF164D42"/>
      </patternFill>
    </fill>
    <fill>
      <patternFill patternType="solid">
        <fgColor rgb="FFF0F5F2"/>
      </patternFill>
    </fill>
    <fill>
      <patternFill patternType="none"/>
    </fill>
    <fill>
      <patternFill patternType="solid">
        <fgColor rgb="FF164D42"/>
      </patternFill>
    </fill>
    <fill>
      <patternFill patternType="solid">
        <fgColor rgb="FFEFF5F2"/>
      </patternFill>
    </fill>
    <fill>
      <patternFill patternType="solid">
        <fgColor theme="6" tint="-0.249977111117893"/>
        <bgColor indexed="65"/>
      </patternFill>
    </fill>
    <fill>
      <patternFill patternType="solid">
        <fgColor theme="6" tint="-0.249977111117893"/>
        <bgColor indexed="65"/>
      </patternFill>
    </fill>
    <fill>
      <patternFill patternType="solid">
        <fgColor rgb="FFFFE9BD"/>
      </patternFill>
    </fill>
    <fill>
      <patternFill patternType="solid">
        <fgColor rgb="FFFFF1C9"/>
      </patternFill>
    </fill>
    <fill>
      <patternFill patternType="solid">
        <fgColor rgb="FF164D42"/>
      </patternFill>
    </fill>
  </fills>
  <borders count="4">
    <border>
      <left/>
      <right/>
      <top/>
      <bottom/>
      <diagonal/>
    </border>
    <border>
      <left/>
      <right/>
      <top/>
      <bottom/>
      <diagonal/>
    </border>
    <border>
      <left/>
      <right/>
      <top/>
      <bottom/>
      <diagonal/>
    </border>
    <border>
      <left/>
      <right/>
      <top/>
      <bottom/>
      <diagonal/>
    </border>
  </borders>
  <cellStyleXfs count="3">
    <xf numFmtId="0" fontId="0" fillId="0" borderId="0"/>
    <xf numFmtId="0" fontId="10" fillId="0" borderId="0" applyNumberFormat="0" applyFill="0" applyBorder="0" applyAlignment="0" applyProtection="0"/>
    <xf numFmtId="0" fontId="1" fillId="0" borderId="0"/>
  </cellStyleXfs>
  <cellXfs count="84">
    <xf numFmtId="0" fontId="0" fillId="0" borderId="0" xfId="0"/>
    <xf numFmtId="0" fontId="4" fillId="0" borderId="0" xfId="2" applyFont="1" applyAlignment="1">
      <alignment vertical="center" wrapText="1"/>
    </xf>
    <xf numFmtId="0" fontId="4" fillId="0" borderId="0" xfId="2" applyFont="1" applyAlignment="1">
      <alignment vertical="center"/>
    </xf>
    <xf numFmtId="0" fontId="3" fillId="0" borderId="0" xfId="2" applyFont="1" applyAlignment="1">
      <alignment vertical="center"/>
    </xf>
    <xf numFmtId="0" fontId="6" fillId="3" borderId="0" xfId="2" applyFont="1" applyFill="1" applyAlignment="1">
      <alignment vertical="center" wrapText="1"/>
    </xf>
    <xf numFmtId="0" fontId="4" fillId="4" borderId="0" xfId="2" applyFont="1" applyFill="1" applyAlignment="1">
      <alignment vertical="center" wrapText="1"/>
    </xf>
    <xf numFmtId="0" fontId="7" fillId="4" borderId="0" xfId="2" applyFont="1" applyFill="1" applyAlignment="1">
      <alignment vertical="center"/>
    </xf>
    <xf numFmtId="0" fontId="7" fillId="0" borderId="0" xfId="2" applyFont="1" applyAlignment="1">
      <alignment vertical="center"/>
    </xf>
    <xf numFmtId="0" fontId="6" fillId="3" borderId="0" xfId="2" applyFont="1" applyFill="1" applyAlignment="1">
      <alignment vertical="center" wrapText="1"/>
      <extLst>
        <ext xmlns:xfpb="http://schemas.microsoft.com/office/spreadsheetml/2022/featurepropertybag" uri="{C7286773-470A-42A8-94C5-96B5CB345126}">
          <xfpb:xfComplement i="0"/>
        </ext>
      </extLst>
    </xf>
    <xf numFmtId="0" fontId="12" fillId="6" borderId="1" xfId="0" applyFont="1" applyFill="1" applyBorder="1" applyAlignment="1">
      <alignment vertical="center" wrapText="1"/>
    </xf>
    <xf numFmtId="0" fontId="12" fillId="7" borderId="1" xfId="0" applyFont="1" applyFill="1" applyBorder="1" applyAlignment="1">
      <alignment vertical="center" wrapText="1"/>
    </xf>
    <xf numFmtId="12" fontId="0" fillId="0" borderId="0" xfId="2" applyNumberFormat="1" applyFont="1" applyAlignment="1">
      <alignment horizontal="left" vertical="center"/>
    </xf>
    <xf numFmtId="12" fontId="0" fillId="0" borderId="0" xfId="0" applyNumberFormat="1" applyAlignment="1">
      <alignment horizontal="left" vertical="center"/>
    </xf>
    <xf numFmtId="0" fontId="0" fillId="0" borderId="0" xfId="0" applyAlignment="1">
      <alignment horizontal="center"/>
    </xf>
    <xf numFmtId="12" fontId="13" fillId="9" borderId="0" xfId="2" applyNumberFormat="1" applyFont="1" applyFill="1" applyAlignment="1">
      <alignment horizontal="center" vertical="center" wrapText="1"/>
    </xf>
    <xf numFmtId="0" fontId="9" fillId="9" borderId="0" xfId="2" applyFont="1" applyFill="1" applyAlignment="1">
      <alignment horizontal="center" vertical="center" wrapText="1"/>
    </xf>
    <xf numFmtId="0" fontId="4" fillId="8" borderId="0" xfId="2" applyFont="1" applyFill="1" applyAlignment="1">
      <alignment horizontal="center" vertical="center"/>
    </xf>
    <xf numFmtId="0" fontId="0" fillId="8" borderId="0" xfId="0" applyFill="1" applyAlignment="1">
      <alignment horizontal="center"/>
    </xf>
    <xf numFmtId="0" fontId="4" fillId="4" borderId="0" xfId="2" applyFont="1" applyFill="1" applyAlignment="1">
      <alignment horizontal="center" vertical="center" wrapText="1"/>
    </xf>
    <xf numFmtId="0" fontId="4" fillId="0" borderId="0" xfId="2" applyFont="1" applyAlignment="1">
      <alignment horizontal="center" vertical="center" wrapText="1"/>
    </xf>
    <xf numFmtId="0" fontId="14" fillId="10" borderId="2" xfId="0" applyFont="1" applyFill="1" applyBorder="1"/>
    <xf numFmtId="0" fontId="16" fillId="10" borderId="2" xfId="0" applyFont="1" applyFill="1" applyBorder="1" applyAlignment="1">
      <alignment vertical="center" wrapText="1"/>
    </xf>
    <xf numFmtId="4" fontId="16" fillId="10" borderId="2" xfId="0" applyNumberFormat="1" applyFont="1" applyFill="1" applyBorder="1" applyAlignment="1">
      <alignment vertical="center"/>
    </xf>
    <xf numFmtId="0" fontId="16" fillId="10" borderId="2" xfId="0" applyFont="1" applyFill="1" applyBorder="1" applyAlignment="1">
      <alignment vertical="center"/>
    </xf>
    <xf numFmtId="0" fontId="17" fillId="11" borderId="2" xfId="0" applyFont="1" applyFill="1" applyBorder="1" applyAlignment="1">
      <alignment vertical="center"/>
    </xf>
    <xf numFmtId="0" fontId="18" fillId="12" borderId="2" xfId="0" applyFont="1" applyFill="1" applyBorder="1" applyAlignment="1">
      <alignment vertical="center" wrapText="1"/>
    </xf>
    <xf numFmtId="0" fontId="16" fillId="13" borderId="2" xfId="0" applyFont="1" applyFill="1" applyBorder="1" applyAlignment="1">
      <alignment vertical="center" wrapText="1"/>
    </xf>
    <xf numFmtId="2" fontId="16" fillId="13" borderId="2" xfId="0" applyNumberFormat="1" applyFont="1" applyFill="1" applyBorder="1" applyAlignment="1">
      <alignment vertical="center"/>
    </xf>
    <xf numFmtId="164" fontId="16" fillId="13" borderId="2" xfId="0" applyNumberFormat="1" applyFont="1" applyFill="1" applyBorder="1" applyAlignment="1">
      <alignment vertical="center"/>
    </xf>
    <xf numFmtId="165" fontId="16" fillId="13" borderId="2" xfId="0" applyNumberFormat="1" applyFont="1" applyFill="1" applyBorder="1" applyAlignment="1">
      <alignment vertical="center"/>
    </xf>
    <xf numFmtId="4" fontId="16" fillId="13" borderId="2" xfId="0" applyNumberFormat="1" applyFont="1" applyFill="1" applyBorder="1" applyAlignment="1">
      <alignment vertical="center"/>
    </xf>
    <xf numFmtId="165" fontId="16" fillId="10" borderId="2" xfId="0" applyNumberFormat="1" applyFont="1" applyFill="1" applyBorder="1" applyAlignment="1">
      <alignment vertical="center"/>
    </xf>
    <xf numFmtId="164" fontId="17" fillId="11" borderId="2" xfId="0" applyNumberFormat="1" applyFont="1" applyFill="1" applyBorder="1" applyAlignment="1">
      <alignment vertical="center"/>
    </xf>
    <xf numFmtId="1" fontId="17" fillId="11" borderId="2" xfId="0" applyNumberFormat="1" applyFont="1" applyFill="1" applyBorder="1" applyAlignment="1">
      <alignment vertical="center"/>
    </xf>
    <xf numFmtId="0" fontId="24" fillId="15" borderId="3" xfId="0" applyFont="1" applyFill="1" applyBorder="1" applyAlignment="1">
      <alignment vertical="center" wrapText="1"/>
    </xf>
    <xf numFmtId="12" fontId="14" fillId="10" borderId="2" xfId="0" applyNumberFormat="1" applyFont="1" applyFill="1" applyBorder="1" applyAlignment="1">
      <alignment horizontal="left" vertical="center"/>
    </xf>
    <xf numFmtId="12" fontId="26" fillId="10" borderId="2" xfId="0" applyNumberFormat="1" applyFont="1" applyFill="1" applyBorder="1" applyAlignment="1">
      <alignment horizontal="left" vertical="center"/>
    </xf>
    <xf numFmtId="0" fontId="18" fillId="18" borderId="2" xfId="0" applyFont="1" applyFill="1" applyBorder="1" applyAlignment="1">
      <alignment horizontal="center" vertical="center" wrapText="1"/>
    </xf>
    <xf numFmtId="0" fontId="20" fillId="18" borderId="2" xfId="0" applyFont="1" applyFill="1" applyBorder="1" applyAlignment="1">
      <alignment horizontal="center" vertical="center" wrapText="1"/>
    </xf>
    <xf numFmtId="0" fontId="27" fillId="17" borderId="2" xfId="0" applyFont="1" applyFill="1" applyBorder="1" applyAlignment="1">
      <alignment horizontal="center" vertical="center"/>
    </xf>
    <xf numFmtId="9" fontId="16" fillId="10" borderId="2" xfId="0" applyNumberFormat="1" applyFont="1" applyFill="1" applyBorder="1" applyAlignment="1">
      <alignment vertical="center" wrapText="1"/>
    </xf>
    <xf numFmtId="0" fontId="28" fillId="19" borderId="2" xfId="0" applyFont="1" applyFill="1" applyBorder="1" applyAlignment="1">
      <alignment vertical="center"/>
    </xf>
    <xf numFmtId="0" fontId="14" fillId="10" borderId="2" xfId="0" applyFont="1" applyFill="1" applyBorder="1" applyAlignment="1">
      <alignment vertical="center"/>
    </xf>
    <xf numFmtId="0" fontId="14" fillId="10" borderId="2" xfId="0" applyFont="1" applyFill="1" applyBorder="1" applyAlignment="1">
      <alignment vertical="center" wrapText="1"/>
    </xf>
    <xf numFmtId="0" fontId="29" fillId="20" borderId="2" xfId="0" applyFont="1" applyFill="1" applyBorder="1" applyAlignment="1">
      <alignment vertical="center" wrapText="1"/>
    </xf>
    <xf numFmtId="0" fontId="30" fillId="10" borderId="2" xfId="0" applyFont="1" applyFill="1" applyBorder="1" applyAlignment="1">
      <alignment vertical="center" wrapText="1"/>
    </xf>
    <xf numFmtId="0" fontId="15" fillId="10" borderId="2" xfId="0" applyFont="1" applyFill="1" applyBorder="1" applyAlignment="1">
      <alignment vertical="center" wrapText="1"/>
    </xf>
    <xf numFmtId="0" fontId="14" fillId="13" borderId="2" xfId="0" applyFont="1" applyFill="1" applyBorder="1" applyAlignment="1">
      <alignment vertical="center" wrapText="1"/>
    </xf>
    <xf numFmtId="0" fontId="14" fillId="16" borderId="2" xfId="0" applyFont="1" applyFill="1" applyBorder="1" applyAlignment="1">
      <alignment vertical="center" wrapText="1"/>
    </xf>
    <xf numFmtId="0" fontId="25" fillId="16" borderId="2" xfId="0" applyFont="1" applyFill="1" applyBorder="1" applyAlignment="1">
      <alignment vertical="center" wrapText="1"/>
    </xf>
    <xf numFmtId="0" fontId="25" fillId="10" borderId="2" xfId="0" applyFont="1" applyFill="1" applyBorder="1" applyAlignment="1">
      <alignment vertical="center" wrapText="1"/>
    </xf>
    <xf numFmtId="166" fontId="17" fillId="20" borderId="2" xfId="0" applyNumberFormat="1" applyFont="1" applyFill="1" applyBorder="1" applyAlignment="1">
      <alignment vertical="center"/>
    </xf>
    <xf numFmtId="0" fontId="20" fillId="21" borderId="2" xfId="0" applyFont="1" applyFill="1" applyBorder="1" applyAlignment="1">
      <alignment vertical="center"/>
    </xf>
    <xf numFmtId="0" fontId="20" fillId="21" borderId="2" xfId="0" applyFont="1" applyFill="1" applyBorder="1" applyAlignment="1">
      <alignment vertical="center" wrapText="1"/>
    </xf>
    <xf numFmtId="0" fontId="20" fillId="21" borderId="2" xfId="0" applyFont="1" applyFill="1" applyBorder="1" applyAlignment="1">
      <alignment wrapText="1"/>
    </xf>
    <xf numFmtId="164" fontId="14" fillId="20" borderId="2" xfId="0" applyNumberFormat="1" applyFont="1" applyFill="1" applyBorder="1"/>
    <xf numFmtId="1" fontId="14" fillId="20" borderId="2" xfId="0" applyNumberFormat="1" applyFont="1" applyFill="1" applyBorder="1"/>
    <xf numFmtId="0" fontId="14" fillId="10" borderId="2" xfId="0" applyFont="1" applyFill="1" applyBorder="1" applyAlignment="1">
      <alignment vertical="center" wrapText="1"/>
    </xf>
    <xf numFmtId="0" fontId="11" fillId="0" borderId="0" xfId="2" applyFont="1" applyAlignment="1">
      <alignment vertical="center"/>
    </xf>
    <xf numFmtId="0" fontId="2" fillId="0" borderId="0" xfId="2" applyFont="1" applyAlignment="1">
      <alignment vertical="center"/>
    </xf>
    <xf numFmtId="0" fontId="15" fillId="10" borderId="2" xfId="0" applyFont="1" applyFill="1" applyBorder="1" applyAlignment="1">
      <alignment vertical="center"/>
    </xf>
    <xf numFmtId="0" fontId="3" fillId="0" borderId="0" xfId="2" applyFont="1" applyAlignment="1">
      <alignment vertical="center"/>
    </xf>
    <xf numFmtId="4" fontId="14" fillId="10" borderId="2" xfId="0" applyNumberFormat="1" applyFont="1" applyFill="1" applyBorder="1" applyAlignment="1">
      <alignment vertical="center" wrapText="1"/>
    </xf>
    <xf numFmtId="0" fontId="19" fillId="10" borderId="2" xfId="0" applyFont="1" applyFill="1" applyBorder="1" applyAlignment="1">
      <alignment vertical="center" wrapText="1"/>
    </xf>
    <xf numFmtId="0" fontId="8" fillId="0" borderId="0" xfId="2" applyFont="1" applyAlignment="1">
      <alignment vertical="center" wrapText="1"/>
    </xf>
    <xf numFmtId="0" fontId="5" fillId="2" borderId="0" xfId="2" applyFont="1" applyFill="1" applyAlignment="1">
      <alignment vertical="center" wrapText="1"/>
    </xf>
    <xf numFmtId="0" fontId="10" fillId="5" borderId="0" xfId="1" applyFill="1" applyAlignment="1">
      <alignment vertical="center" wrapText="1"/>
    </xf>
    <xf numFmtId="0" fontId="5" fillId="5" borderId="0" xfId="2" applyFont="1" applyFill="1" applyAlignment="1">
      <alignment vertical="center" wrapText="1"/>
    </xf>
    <xf numFmtId="0" fontId="16" fillId="10" borderId="2" xfId="0" applyFont="1" applyFill="1" applyBorder="1" applyAlignment="1">
      <alignment vertical="center" wrapText="1"/>
    </xf>
    <xf numFmtId="0" fontId="4" fillId="0" borderId="0" xfId="2" applyFont="1" applyAlignment="1">
      <alignment vertical="center" wrapText="1"/>
    </xf>
    <xf numFmtId="0" fontId="21" fillId="10" borderId="2" xfId="0" applyFont="1" applyFill="1" applyBorder="1" applyAlignment="1">
      <alignment vertical="center" wrapText="1"/>
    </xf>
    <xf numFmtId="164" fontId="17" fillId="11" borderId="2" xfId="0" applyNumberFormat="1" applyFont="1" applyFill="1" applyBorder="1" applyAlignment="1">
      <alignment vertical="center" wrapText="1"/>
    </xf>
    <xf numFmtId="0" fontId="15" fillId="10" borderId="2" xfId="0" applyFont="1" applyFill="1" applyBorder="1" applyAlignment="1">
      <alignment vertical="center" wrapText="1"/>
    </xf>
    <xf numFmtId="0" fontId="17" fillId="10" borderId="2" xfId="0" applyFont="1" applyFill="1" applyBorder="1" applyAlignment="1">
      <alignment vertical="center" wrapText="1"/>
    </xf>
    <xf numFmtId="0" fontId="16" fillId="10" borderId="2" xfId="0" applyFont="1" applyFill="1" applyBorder="1" applyAlignment="1">
      <alignment vertical="center"/>
    </xf>
    <xf numFmtId="0" fontId="0" fillId="0" borderId="0" xfId="0"/>
    <xf numFmtId="0" fontId="4" fillId="0" borderId="0" xfId="2" applyFont="1" applyAlignment="1">
      <alignment vertical="center"/>
    </xf>
    <xf numFmtId="0" fontId="23" fillId="14" borderId="3" xfId="0" applyFont="1" applyFill="1" applyBorder="1" applyAlignment="1">
      <alignment vertical="center" wrapText="1"/>
    </xf>
    <xf numFmtId="0" fontId="12" fillId="6" borderId="1" xfId="0" applyFont="1" applyFill="1" applyBorder="1" applyAlignment="1">
      <alignment vertical="center" wrapText="1"/>
    </xf>
    <xf numFmtId="0" fontId="22" fillId="14" borderId="3" xfId="0" applyFont="1" applyFill="1" applyBorder="1" applyAlignment="1">
      <alignment vertical="center" wrapText="1"/>
    </xf>
    <xf numFmtId="0" fontId="22" fillId="16" borderId="3" xfId="0" applyFont="1" applyFill="1" applyBorder="1" applyAlignment="1">
      <alignment vertical="center" wrapText="1"/>
    </xf>
    <xf numFmtId="0" fontId="12" fillId="7" borderId="1" xfId="0" applyFont="1" applyFill="1" applyBorder="1" applyAlignment="1">
      <alignment vertical="center" wrapText="1"/>
    </xf>
    <xf numFmtId="0" fontId="14" fillId="10" borderId="2" xfId="0" applyFont="1" applyFill="1" applyBorder="1"/>
    <xf xmlns="http://schemas.openxmlformats.org/spreadsheetml/2006/main" numFmtId="9" fontId="17" fillId="20" borderId="2" xfId="0" applyNumberFormat="1" applyFont="1" applyFill="1" applyBorder="1" applyAlignment="1">
      <alignment vertical="center"/>
    </xf>
  </cellXfs>
  <cellStyles count="3">
    <cellStyle name="Hiperłącze" xfId="1" builtinId="8"/>
    <cellStyle name="Normal" xfId="2" xr:uid="{00000000-0005-0000-0000-000006000000}"/>
    <cellStyle name="Normalny"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57A70"/>
      <rgbColor rgb="FF9999FF"/>
      <rgbColor rgb="FF993366"/>
      <rgbColor rgb="FFFFF1C9"/>
      <rgbColor rgb="FFE5EC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0F5F2"/>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7478F"/>
      <rgbColor rgb="FF164D42"/>
      <rgbColor rgb="00003366"/>
      <rgbColor rgb="00339966"/>
      <rgbColor rgb="00003300"/>
      <rgbColor rgb="00333300"/>
      <rgbColor rgb="00993300"/>
      <rgbColor rgb="00993366"/>
      <rgbColor rgb="00333399"/>
      <rgbColor rgb="00333333"/>
    </indexedColors>
    <mruColors>
      <color rgb="FFFFE9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jpeg"/><Relationship Id="rId5" Type="http://schemas.openxmlformats.org/officeDocument/2006/relationships/image" Target="../media/image5.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20" Type="http://schemas.openxmlformats.org/officeDocument/2006/relationships/image" Target="../media/image20.jpeg"/><Relationship Id="rId41" Type="http://schemas.openxmlformats.org/officeDocument/2006/relationships/image" Target="../media/image41.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3">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ichValueRels>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llegro.pl/oferta/13772672232" TargetMode="External"/><Relationship Id="rId18" Type="http://schemas.openxmlformats.org/officeDocument/2006/relationships/hyperlink" Target="https://allegro.pl/oferta/18572299136" TargetMode="External"/><Relationship Id="rId26" Type="http://schemas.openxmlformats.org/officeDocument/2006/relationships/hyperlink" Target="https://allegro.pl/oferta/17788873850" TargetMode="External"/><Relationship Id="rId39" Type="http://schemas.openxmlformats.org/officeDocument/2006/relationships/hyperlink" Target="https://allegro.pl/oferta/17500378217" TargetMode="External"/><Relationship Id="rId21" Type="http://schemas.openxmlformats.org/officeDocument/2006/relationships/hyperlink" Target="https://allegro.pl/oferta/18572145004" TargetMode="External"/><Relationship Id="rId34" Type="http://schemas.openxmlformats.org/officeDocument/2006/relationships/hyperlink" Target="https://allegro.pl/oferta/17117753356" TargetMode="External"/><Relationship Id="rId42" Type="http://schemas.openxmlformats.org/officeDocument/2006/relationships/hyperlink" Target="https://allegro.pl/oferta/18362123760" TargetMode="External"/><Relationship Id="rId47" Type="http://schemas.openxmlformats.org/officeDocument/2006/relationships/hyperlink" Target="https://allegro.pl/oferta/18047346400" TargetMode="External"/><Relationship Id="rId50" Type="http://schemas.openxmlformats.org/officeDocument/2006/relationships/hyperlink" Target="https://allegro.pl/oferta/17660163172" TargetMode="External"/><Relationship Id="rId7" Type="http://schemas.openxmlformats.org/officeDocument/2006/relationships/hyperlink" Target="https://allegro.pl/oferta/13772612595" TargetMode="External"/><Relationship Id="rId2" Type="http://schemas.openxmlformats.org/officeDocument/2006/relationships/hyperlink" Target="https://allegro.pl/oferta/13772628602" TargetMode="External"/><Relationship Id="rId16" Type="http://schemas.openxmlformats.org/officeDocument/2006/relationships/hyperlink" Target="https://allegro.pl/oferta/18572170967" TargetMode="External"/><Relationship Id="rId29" Type="http://schemas.openxmlformats.org/officeDocument/2006/relationships/hyperlink" Target="https://allegro.pl/oferta/18151467774" TargetMode="External"/><Relationship Id="rId11" Type="http://schemas.openxmlformats.org/officeDocument/2006/relationships/hyperlink" Target="https://allegro.pl/oferta/13774167176" TargetMode="External"/><Relationship Id="rId24" Type="http://schemas.openxmlformats.org/officeDocument/2006/relationships/hyperlink" Target="https://allegro.pl/oferta/18572193151" TargetMode="External"/><Relationship Id="rId32" Type="http://schemas.openxmlformats.org/officeDocument/2006/relationships/hyperlink" Target="https://allegro.pl/oferta/17530525158" TargetMode="External"/><Relationship Id="rId37" Type="http://schemas.openxmlformats.org/officeDocument/2006/relationships/hyperlink" Target="https://allegro.pl/oferta/17117898122" TargetMode="External"/><Relationship Id="rId40" Type="http://schemas.openxmlformats.org/officeDocument/2006/relationships/hyperlink" Target="https://allegro.pl/oferta/18160303871" TargetMode="External"/><Relationship Id="rId45" Type="http://schemas.openxmlformats.org/officeDocument/2006/relationships/hyperlink" Target="https://allegro.pl/oferta/18109177129" TargetMode="External"/><Relationship Id="rId53" Type="http://schemas.openxmlformats.org/officeDocument/2006/relationships/hyperlink" Target="https://allegro.pl/oferta/17933260486" TargetMode="External"/><Relationship Id="rId5" Type="http://schemas.openxmlformats.org/officeDocument/2006/relationships/hyperlink" Target="https://allegro.pl/oferta/13772674708" TargetMode="External"/><Relationship Id="rId10" Type="http://schemas.openxmlformats.org/officeDocument/2006/relationships/hyperlink" Target="https://allegro.pl/oferta/13772679278" TargetMode="External"/><Relationship Id="rId19" Type="http://schemas.openxmlformats.org/officeDocument/2006/relationships/hyperlink" Target="https://allegro.pl/oferta/18572257727" TargetMode="External"/><Relationship Id="rId31" Type="http://schemas.openxmlformats.org/officeDocument/2006/relationships/hyperlink" Target="https://allegro.pl/oferta/18362078070" TargetMode="External"/><Relationship Id="rId44" Type="http://schemas.openxmlformats.org/officeDocument/2006/relationships/hyperlink" Target="https://allegro.pl/oferta/17788817354" TargetMode="External"/><Relationship Id="rId52" Type="http://schemas.openxmlformats.org/officeDocument/2006/relationships/hyperlink" Target="https://allegro.pl/oferta/17660116977" TargetMode="External"/><Relationship Id="rId4" Type="http://schemas.openxmlformats.org/officeDocument/2006/relationships/hyperlink" Target="https://allegro.pl/oferta/13772624453" TargetMode="External"/><Relationship Id="rId9" Type="http://schemas.openxmlformats.org/officeDocument/2006/relationships/hyperlink" Target="https://allegro.pl/oferta/13772626501" TargetMode="External"/><Relationship Id="rId14" Type="http://schemas.openxmlformats.org/officeDocument/2006/relationships/hyperlink" Target="https://allegro.pl/oferta/18572227462" TargetMode="External"/><Relationship Id="rId22" Type="http://schemas.openxmlformats.org/officeDocument/2006/relationships/hyperlink" Target="https://allegro.pl/oferta/18720258857" TargetMode="External"/><Relationship Id="rId27" Type="http://schemas.openxmlformats.org/officeDocument/2006/relationships/hyperlink" Target="https://allegro.pl/oferta/17500424653" TargetMode="External"/><Relationship Id="rId30" Type="http://schemas.openxmlformats.org/officeDocument/2006/relationships/hyperlink" Target="https://allegro.pl/oferta/17117911567" TargetMode="External"/><Relationship Id="rId35" Type="http://schemas.openxmlformats.org/officeDocument/2006/relationships/hyperlink" Target="https://allegro.pl/oferta/17530542671" TargetMode="External"/><Relationship Id="rId43" Type="http://schemas.openxmlformats.org/officeDocument/2006/relationships/hyperlink" Target="https://allegro.pl/oferta/17500336391" TargetMode="External"/><Relationship Id="rId48" Type="http://schemas.openxmlformats.org/officeDocument/2006/relationships/hyperlink" Target="https://allegro.pl/oferta/18057631274" TargetMode="External"/><Relationship Id="rId8" Type="http://schemas.openxmlformats.org/officeDocument/2006/relationships/hyperlink" Target="https://allegro.pl/oferta/13772635346" TargetMode="External"/><Relationship Id="rId51" Type="http://schemas.openxmlformats.org/officeDocument/2006/relationships/hyperlink" Target="https://allegro.pl/oferta/17660150389" TargetMode="External"/><Relationship Id="rId3" Type="http://schemas.openxmlformats.org/officeDocument/2006/relationships/hyperlink" Target="https://allegro.pl/oferta/13772619643" TargetMode="External"/><Relationship Id="rId12" Type="http://schemas.openxmlformats.org/officeDocument/2006/relationships/hyperlink" Target="https://allegro.pl/oferta/13772597219" TargetMode="External"/><Relationship Id="rId17" Type="http://schemas.openxmlformats.org/officeDocument/2006/relationships/hyperlink" Target="https://allegro.pl/oferta/18720474275" TargetMode="External"/><Relationship Id="rId25" Type="http://schemas.openxmlformats.org/officeDocument/2006/relationships/hyperlink" Target="https://allegro.pl/oferta/17500482643" TargetMode="External"/><Relationship Id="rId33" Type="http://schemas.openxmlformats.org/officeDocument/2006/relationships/hyperlink" Target="https://allegro.pl/oferta/17817984315" TargetMode="External"/><Relationship Id="rId38" Type="http://schemas.openxmlformats.org/officeDocument/2006/relationships/hyperlink" Target="https://allegro.pl/oferta/17117781860" TargetMode="External"/><Relationship Id="rId46" Type="http://schemas.openxmlformats.org/officeDocument/2006/relationships/hyperlink" Target="https://allegro.pl/oferta/18057493055" TargetMode="External"/><Relationship Id="rId20" Type="http://schemas.openxmlformats.org/officeDocument/2006/relationships/hyperlink" Target="https://allegro.pl/oferta/18572132910" TargetMode="External"/><Relationship Id="rId41" Type="http://schemas.openxmlformats.org/officeDocument/2006/relationships/hyperlink" Target="https://allegro.pl/oferta/17659511735" TargetMode="External"/><Relationship Id="rId54" Type="http://schemas.openxmlformats.org/officeDocument/2006/relationships/printerSettings" Target="../printerSettings/printerSettings1.bin"/><Relationship Id="rId1" Type="http://schemas.openxmlformats.org/officeDocument/2006/relationships/hyperlink" Target="https://allegro.pl/oferta/13772574523" TargetMode="External"/><Relationship Id="rId6" Type="http://schemas.openxmlformats.org/officeDocument/2006/relationships/hyperlink" Target="https://allegro.pl/oferta/17770041123" TargetMode="External"/><Relationship Id="rId15" Type="http://schemas.openxmlformats.org/officeDocument/2006/relationships/hyperlink" Target="https://allegro.pl/oferta/18572239464" TargetMode="External"/><Relationship Id="rId23" Type="http://schemas.openxmlformats.org/officeDocument/2006/relationships/hyperlink" Target="https://allegro.pl/oferta/18572161788" TargetMode="External"/><Relationship Id="rId28" Type="http://schemas.openxmlformats.org/officeDocument/2006/relationships/hyperlink" Target="https://allegro.pl/oferta/17117838598" TargetMode="External"/><Relationship Id="rId36" Type="http://schemas.openxmlformats.org/officeDocument/2006/relationships/hyperlink" Target="https://allegro.pl/oferta/18161217261" TargetMode="External"/><Relationship Id="rId49" Type="http://schemas.openxmlformats.org/officeDocument/2006/relationships/hyperlink" Target="https://allegro.pl/oferta/17274828688"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vinealchemybyiren@gmail.com%20%20" TargetMode="External"/><Relationship Id="rId2" Type="http://schemas.openxmlformats.org/officeDocument/2006/relationships/hyperlink" Target="mailto:divinealchemybyiren@gmail.com%20%20" TargetMode="External"/><Relationship Id="rId1" Type="http://schemas.openxmlformats.org/officeDocument/2006/relationships/hyperlink" Target="https://nbp.pl/statystyka-i-sprawozdawczosc/kursy/tabela-a/" TargetMode="External"/><Relationship Id="rId4" Type="http://schemas.openxmlformats.org/officeDocument/2006/relationships/hyperlink" Target="../../.codex/.chatgpt-projects/g-p-699b0d43080081918a5653d692988b54/outputs/eu-ready/Wax_Laboratory_Report.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4D42"/>
  </sheetPr>
  <dimension ref="A1:Q62"/>
  <sheetViews>
    <sheetView showGridLines="0" tabSelected="1" zoomScale="85" zoomScaleNormal="75" workbookViewId="0">
      <pane ySplit="5" topLeftCell="A6" activePane="bottomLeft" state="frozen"/>
      <selection pane="bottomLeft" activeCell="D2" sqref="D2"/>
    </sheetView>
  </sheetViews>
  <sheetFormatPr defaultColWidth="8.3828125" defaultRowHeight="12.45"/>
  <cols>
    <col min="1" max="1" width="12" customWidth="1"/>
    <col min="2" max="2" width="27" customWidth="1"/>
    <col min="3" max="3" width="17.3828125" customWidth="1"/>
    <col min="4" max="4" width="13" customWidth="1"/>
    <col min="5" max="5" width="11" customWidth="1"/>
    <col min="6" max="6" width="10" customWidth="1"/>
    <col min="7" max="7" width="9" customWidth="1"/>
    <col min="8" max="8" width="11" customWidth="1"/>
    <col min="9" max="9" width="9" customWidth="1"/>
    <col min="10" max="11" width="12" customWidth="1"/>
    <col min="12" max="12" width="18" customWidth="1"/>
  </cols>
  <sheetData>
    <row r="1" spans="1:17" ht="23.05" customHeight="1">
      <c r="A1" s="58" t="s">
        <v>14</v>
      </c>
      <c r="B1" s="59"/>
      <c r="C1" s="59"/>
      <c r="D1" s="59"/>
      <c r="E1" s="3"/>
      <c r="F1" s="60" t="str">
        <f>CHOOSE(DETAILS!$B$2,"Oferta B2B i formularz zamówienia","B2B offer and order form","B2B-Angebot und Bestellformular","Offre B2B et bon de commande","Oferta B2B y formulario de pedido","Offerta B2B e modulo d’ordine","B2B nabídka a objednávkový formulář","B2B ponuka a objednávkový formulár")</f>
        <v>B2B offer and order form</v>
      </c>
      <c r="G1" s="61"/>
      <c r="H1" s="61"/>
      <c r="I1" s="61"/>
      <c r="J1" s="61"/>
      <c r="K1" s="61"/>
      <c r="L1" s="61"/>
      <c r="M1" s="21"/>
      <c r="N1" s="41"/>
      <c r="O1" s="2"/>
      <c r="P1" s="2"/>
      <c r="Q1" s="2"/>
    </row>
    <row r="2" spans="1:17" ht="32.049999999999997" customHeight="1">
      <c r="A2" s="43" t="str">
        <f>CHOOSE(DETAILS!$B$2,"Język","Language","Sprache","Langue","Idioma","Lingua","Jazyk","Jazyk")</f>
        <v>Language</v>
      </c>
      <c r="B2" s="44" t="s">
        <v>31</v>
      </c>
      <c r="C2" s="45" t="str">
        <f>CHOOSE(DETAILS!$B$2,"Kraj dostawy","Delivery country","Lieferland","Pays de livraison","País de entrega","Paese di consegna","Země doručení","Krajina doručenia")</f>
        <v>Delivery country</v>
      </c>
      <c r="D2" s="44" t="s">
        <v>23</v>
      </c>
      <c r="E2" s="43" t="str">
        <f>CHOOSE(DETAILS!$B$2,"Waluta","Currency","Währung","Devise","Moneda","Valuta","Měna","Mena")</f>
        <v>Currency</v>
      </c>
      <c r="F2" s="44" t="s">
        <v>24</v>
      </c>
      <c r="G2" s="46" t="str">
        <f>DETAILS!$B$27</f>
        <v>PLN</v>
      </c>
      <c r="H2" s="57" t="str">
        <f>CHOOSE(DETAILS!$B$2,"Suma","Total","Summe","Total","Total","Totale","Celkem","Spolu")</f>
        <v>Total</v>
      </c>
      <c r="I2" s="57"/>
      <c r="J2" s="62">
        <f>IF(L3&gt;0,CHOOSE(DETAILS!$B$2,"Cena na zapytanie","Price on request","Preis auf Anfrage","Prix sur demande","Precio a consultar","Prezzo su richiesta","Cena na dotaz","Cena na vyžiadanie"),SUM(J6:J58))</f>
        <v>0</v>
      </c>
      <c r="K2" s="62"/>
      <c r="L2" s="43"/>
      <c r="M2" s="2"/>
      <c r="N2" s="2"/>
      <c r="O2" s="2"/>
      <c r="P2" s="2"/>
      <c r="Q2" s="2"/>
    </row>
    <row r="3" spans="1:17" ht="34" customHeight="1">
      <c r="A3" s="57" t="str">
        <f>CHOOSE(DETAILS!$B$2,"AUTO: waluta kraju dostawy. Język nie zmienia cen. Ilości wpisz w żółtej kolumnie G.","AUTO: destination currency. Language does not change prices. Enter quantities in yellow column G.","AUTO: Währung des Lieferlandes. Die Sprache ändert keine Preise. Mengen in gelbe Spalte G eintragen.","AUTO : devise du pays de livraison. La langue ne modifie pas les prix. Quantités en colonne jaune G.","AUTO: moneda del país de entrega. El idioma no cambia los precios. Cantidades en la columna amarilla G.","AUTO: valuta del paese di consegna. La lingua non modifica i prezzi. Quantità nella colonna gialla G.","AUTO: měna země doručení. Jazyk nemění ceny. Množství zadejte do žlutého sloupce G.","AUTO: mena krajiny doručenia. Jazyk nemení ceny. Množstvá zadajte do žltého stĺpca G.")</f>
        <v>AUTO: destination currency. Language does not change prices. Enter quantities in yellow column G.</v>
      </c>
      <c r="B3" s="57"/>
      <c r="C3" s="57"/>
      <c r="D3" s="57"/>
      <c r="E3" s="57"/>
      <c r="F3" s="57"/>
      <c r="G3" s="57"/>
      <c r="H3" s="57" t="str">
        <f>CHOOSE(DETAILS!$B$2,"Pozycje do potwierdzenia","Items to confirm","Zu bestätigende Positionen","Lignes à confirmer","Líneas por confirmar","Voci da confermare","Položky k potvrzení","Položky na potvrdenie")</f>
        <v>Items to confirm</v>
      </c>
      <c r="I3" s="57"/>
      <c r="J3" s="57"/>
      <c r="K3" s="57"/>
      <c r="L3" s="43">
        <f>SUM(PRICES!W5:W57)</f>
        <v>0</v>
      </c>
      <c r="M3" s="2"/>
      <c r="N3" s="2"/>
      <c r="O3" s="2"/>
      <c r="P3" s="2"/>
      <c r="Q3" s="2"/>
    </row>
    <row r="4" spans="1:17" ht="30" customHeight="1">
      <c r="A4" s="57" t="str">
        <f>CHOOSE(DETAILS!$B$2,"Kwoty w wybranej walucie. Dostawa i VAT zostaną potwierdzone przed przyjęciem zamówienia.","Amounts in the selected currency. Delivery and VAT will be confirmed before order acceptance.","Beträge in der gewählten Währung. Versand und Umsatzsteuer werden vor Auftragsannahme bestätigt.","Montants dans la devise choisie. Livraison et TVA à confirmer avant acceptation.","Importes en la moneda seleccionada. Envío e IVA se confirmarán antes de aceptar el pedido.","Importi nella valuta selezionata. Spedizione e trattamento IVA saranno confermati prima dell’accettazione dell’ordine.","Částky ve zvolené měně. Doprava a režim DPH budou potvrzeny před přijetím objednávky.","Sumy vo zvolenej mene. Doprava a režim DPH budú potvrdené pred prijatím objednávky.")</f>
        <v>Amounts in the selected currency. Delivery and VAT will be confirmed before order acceptance.</v>
      </c>
      <c r="B4" s="57"/>
      <c r="C4" s="57"/>
      <c r="D4" s="57"/>
      <c r="E4" s="57"/>
      <c r="F4" s="57"/>
      <c r="G4" s="57"/>
      <c r="H4" s="57"/>
      <c r="I4" s="57"/>
      <c r="J4" s="57"/>
      <c r="K4" s="57"/>
      <c r="L4" s="57"/>
      <c r="M4" s="2"/>
      <c r="N4" s="2"/>
      <c r="O4" s="2"/>
      <c r="P4" s="2"/>
      <c r="Q4" s="2"/>
    </row>
    <row r="5" spans="1:17" ht="44.05" customHeight="1">
      <c r="A5" s="25" t="str">
        <f>CHOOSE(DETAILS!$B$2,"Zdjęcie","Photo","Foto","Photo"," Foto","Foto","Fotografie","Fotografia")</f>
        <v>Photo</v>
      </c>
      <c r="B5" s="25" t="str">
        <f>CHOOSE(DETAILS!$B$2,"Produkt","Product","Produkt","Produit","Producto","Prodotto","Produkt","Produkt")</f>
        <v>Product</v>
      </c>
      <c r="C5" s="25" t="str">
        <f>CHOOSE(DETAILS!$B$2,"Kolor","Colour","Farbe","Couleur","Color","Colore","Barva","Farba")</f>
        <v>Colour</v>
      </c>
      <c r="D5" s="25" t="str">
        <f>CHOOSE(DETAILS!$B$2,"Rozmiar","Size","Größe","Dimensions","Tamaño","Dimensioni","Rozměry","Rozmery")</f>
        <v>Size</v>
      </c>
      <c r="E5" s="25" t="str">
        <f>CHOOSE(DETAILS!$B$2,"Jednostka","Unit","Einheit","Unité","Unidad","Unità","Jednotka","Jednotka")</f>
        <v>Unit</v>
      </c>
      <c r="F5" s="25" t="str">
        <f>CHOOSE(DETAILS!$B$2,"Cena bazowa","Reference price","Basispreis","Prix de référence","Precio base","Prezzo di riferimento","Základní cena","Základná cena")</f>
        <v>Reference price</v>
      </c>
      <c r="G5" s="25" t="str">
        <f>CHOOSE(DETAILS!$B$2,"Ilość","Quantity","Menge","Quantité","Cantidad","Quantità","Množství","Množstvo")</f>
        <v>Quantity</v>
      </c>
      <c r="H5" s="25" t="str">
        <f>CHOOSE(DETAILS!$B$2,"Cena / jedn.","Price / unit","Preis / Einheit","Prix / unité","Precio / unidad","Prezzo / unità","Cena / jednotku","Cena / jednotku")</f>
        <v>Price / unit</v>
      </c>
      <c r="I5" s="25" t="str">
        <f>CHOOSE(DETAILS!$B$2,"Rabat","Discount","Rabatt","Remise","Descuento","Sconto","Sleva","Zľava")</f>
        <v>Discount</v>
      </c>
      <c r="J5" s="25" t="str">
        <f>CHOOSE(DETAILS!$B$2,"Suma","Total","Summe","Total","Total","Totale","Celkem","Spolu")</f>
        <v>Total</v>
      </c>
      <c r="K5" s="25" t="str">
        <f>CHOOSE(DETAILS!$B$2,"Zdjęcia / opinie","Photos / reviews","Fotos / Bewertungen","Photos / avis","Fotos / reseñas","Foto / recensioni","Fotografie / recenze","Fotografie / recenzie")</f>
        <v>Photos / reviews</v>
      </c>
      <c r="L5" s="25" t="str">
        <f>CHOOSE(DETAILS!$B$2,"Status","Status","Status","Statut","Estado","Stato","Stav","Stav")</f>
        <v>Status</v>
      </c>
      <c r="M5" s="2"/>
      <c r="N5" s="2"/>
      <c r="O5" s="2"/>
      <c r="P5" s="2"/>
      <c r="Q5" s="2"/>
    </row>
    <row r="6" spans="1:17" ht="52" customHeight="1">
      <c r="A6" s="4" t="e" vm="1">
        <v>#VALUE!</v>
      </c>
      <c r="B6"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6" s="47" t="str">
        <f>CHOOSE(DETAILS!$B$2,"Biała","White","Weiß","Blanche","Blanca","Bianco","Bílá","Biela")</f>
        <v>White</v>
      </c>
      <c r="D6" s="5" t="s">
        <v>0</v>
      </c>
      <c r="E6" s="47" t="str">
        <f>CHOOSE(DETAILS!$B$2,"szt.","piece","Stück","pièce","unidad","pz.","ks","ks")</f>
        <v>piece</v>
      </c>
      <c r="F6" s="27">
        <f xmlns="http://schemas.openxmlformats.org/spreadsheetml/2006/main">ROUND(BASE_PRICES!B5*(1+DETAILS!$B$30)/DETAILS!$B$26,2)</f>
        <v>6.1</v>
      </c>
      <c r="G6" s="24">
        <v>0</v>
      </c>
      <c r="H6" s="28" t="str">
        <f xmlns="http://schemas.openxmlformats.org/spreadsheetml/2006/main">IF(ISNUMBER(PRICES!V5),ROUND(PRICES!V5*(1+DETAILS!$B$30)/DETAILS!$B$26,4),"")</f>
        <v>0</v>
      </c>
      <c r="I6" s="29" t="str">
        <f>IF(AND(ISNUMBER(PRICES!V5),BASE_PRICES!B5&gt;0),1-PRICES!V5/BASE_PRICES!B5,"")</f>
        <v/>
      </c>
      <c r="J6" s="30" t="str">
        <f t="shared" ref="J6:J37" si="0">IF(ISNUMBER(H6),ROUND(G6*H6,2),"")</f>
        <v/>
      </c>
      <c r="K6" s="6" t="s">
        <v>1</v>
      </c>
      <c r="L6" s="26" t="str">
        <f>IF(NOT(ISNUMBER(G6)),CHOOSE(DETAILS!$B$2,"Wpisz liczbę całkowitą ≥ 0","Enter a whole number ≥ 0","Ganze Zahl ≥ 0 eingeben","Saisir un entier ≥ 0","Introduzca un entero ≥ 0","Inserire un numero intero ≥ 0","Zadejte celé číslo ≥ 0","Zadajte celé číslo ≥ 0"),IF(OR(G6&lt;0,MOD(G6,1)&lt;&gt;0),CHOOSE(DETAILS!$B$2,"Wpisz liczbę całkowitą ≥ 0","Enter a whole number ≥ 0","Ganze Zahl ≥ 0 eingeben","Saisir un entier ≥ 0","Introduzca un entero ≥ 0","Inserire un numero intero ≥ 0","Zadejte celé číslo ≥ 0","Zadajte celé číslo ≥ 0"),IF(G6=0,"",IF(G6&lt;BASE_PRICES!D5,CHOOSE(DETAILS!$B$2,"Minimum: ","Minimum: ","Mindestmenge: ","Minimum : ","Mínimo: ","Minimo: ","Minimum: ","Minimum: ")&amp;BASE_PRICES!D5,IF(MOD(G6,BASE_PRICES!E5)&lt;&gt;0,CHOOSE(DETAILS!$B$2,"Wielokrotność: ","Order in multiples of: ","Bestellen in Vielfachen von: ","Commander par multiples de : ","Pedir en múltiplos de: ","Ordinare in multipli di: ","Objednávejte násobky: ","Objednávajte násobky: ")&amp;BASE_PRICES!E5,IF(ISNUMBER(H6),CHOOSE(DETAILS!$B$2,"Wyceniono","Priced","Bepreist","Chiffré","Calculado","Prezzo calcolato","Cena vypočtena","Cena vypočítaná"),CHOOSE(DETAILS!$B$2,"Cena na zapytanie","Price on request","Preis auf Anfrage","Prix sur demande","Precio a consultar","Prezzo su richiesta","Cena na dotaz","Cena na vyžiadanie")))))))</f>
        <v/>
      </c>
      <c r="M6" s="2"/>
      <c r="N6" s="2"/>
      <c r="O6" s="2"/>
      <c r="P6" s="2"/>
      <c r="Q6" s="2"/>
    </row>
    <row r="7" spans="1:17" ht="52" customHeight="1">
      <c r="A7" s="4" t="e" vm="2">
        <v>#VALUE!</v>
      </c>
      <c r="B7" s="43"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7" s="43" t="str">
        <f>CHOOSE(DETAILS!$B$2,"Błękitna","Light blue","Hellblau","Bleu clair","Azul claro","Azzurro","Světle modrá","Svetlomodrá")</f>
        <v>Light blue</v>
      </c>
      <c r="D7" s="1" t="s">
        <v>0</v>
      </c>
      <c r="E7" s="43" t="str">
        <f>CHOOSE(DETAILS!$B$2,"szt.","piece","Stück","pièce","unidad","pz.","ks","ks")</f>
        <v>piece</v>
      </c>
      <c r="F7" s="27">
        <f xmlns="http://schemas.openxmlformats.org/spreadsheetml/2006/main">ROUND(BASE_PRICES!B6*(1+DETAILS!$B$30)/DETAILS!$B$26,2)</f>
        <v>6.1</v>
      </c>
      <c r="G7" s="24">
        <v>0</v>
      </c>
      <c r="H7" s="28" t="str">
        <f xmlns="http://schemas.openxmlformats.org/spreadsheetml/2006/main">IF(ISNUMBER(PRICES!V6),ROUND(PRICES!V6*(1+DETAILS!$B$30)/DETAILS!$B$26,4),"")</f>
        <v>0</v>
      </c>
      <c r="I7" s="31" t="str">
        <f>IF(AND(ISNUMBER(PRICES!V6),BASE_PRICES!B6&gt;0),1-PRICES!V6/BASE_PRICES!B6,"")</f>
        <v/>
      </c>
      <c r="J7" s="22" t="str">
        <f t="shared" si="0"/>
        <v/>
      </c>
      <c r="K7" s="7" t="s">
        <v>1</v>
      </c>
      <c r="L7" s="21" t="str">
        <f>IF(NOT(ISNUMBER(G7)),CHOOSE(DETAILS!$B$2,"Wpisz liczbę całkowitą ≥ 0","Enter a whole number ≥ 0","Ganze Zahl ≥ 0 eingeben","Saisir un entier ≥ 0","Introduzca un entero ≥ 0","Inserire un numero intero ≥ 0","Zadejte celé číslo ≥ 0","Zadajte celé číslo ≥ 0"),IF(OR(G7&lt;0,MOD(G7,1)&lt;&gt;0),CHOOSE(DETAILS!$B$2,"Wpisz liczbę całkowitą ≥ 0","Enter a whole number ≥ 0","Ganze Zahl ≥ 0 eingeben","Saisir un entier ≥ 0","Introduzca un entero ≥ 0","Inserire un numero intero ≥ 0","Zadejte celé číslo ≥ 0","Zadajte celé číslo ≥ 0"),IF(G7=0,"",IF(G7&lt;BASE_PRICES!D6,CHOOSE(DETAILS!$B$2,"Minimum: ","Minimum: ","Mindestmenge: ","Minimum : ","Mínimo: ","Minimo: ","Minimum: ","Minimum: ")&amp;BASE_PRICES!D6,IF(MOD(G7,BASE_PRICES!E6)&lt;&gt;0,CHOOSE(DETAILS!$B$2,"Wielokrotność: ","Order in multiples of: ","Bestellen in Vielfachen von: ","Commander par multiples de : ","Pedir en múltiplos de: ","Ordinare in multipli di: ","Objednávejte násobky: ","Objednávajte násobky: ")&amp;BASE_PRICES!E6,IF(ISNUMBER(H7),CHOOSE(DETAILS!$B$2,"Wyceniono","Priced","Bepreist","Chiffré","Calculado","Prezzo calcolato","Cena vypočtena","Cena vypočítaná"),CHOOSE(DETAILS!$B$2,"Cena na zapytanie","Price on request","Preis auf Anfrage","Prix sur demande","Precio a consultar","Prezzo su richiesta","Cena na dotaz","Cena na vyžiadanie")))))))</f>
        <v/>
      </c>
      <c r="M7" s="2"/>
      <c r="N7" s="2"/>
      <c r="O7" s="2"/>
      <c r="P7" s="2"/>
      <c r="Q7" s="2"/>
    </row>
    <row r="8" spans="1:17" ht="52" customHeight="1">
      <c r="A8" s="4" t="e" vm="3">
        <v>#VALUE!</v>
      </c>
      <c r="B8"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8" s="47" t="str">
        <f>CHOOSE(DETAILS!$B$2,"Naturalna żółta","Natural yellow","Naturgelb","Jaune naturel","Amarillo natural","Giallo naturale","Přírodní žlutá","Prírodná žltá")</f>
        <v>Natural yellow</v>
      </c>
      <c r="D8" s="5" t="s">
        <v>0</v>
      </c>
      <c r="E8" s="47" t="str">
        <f>CHOOSE(DETAILS!$B$2,"szt.","piece","Stück","pièce","unidad","pz.","ks","ks")</f>
        <v>piece</v>
      </c>
      <c r="F8" s="27">
        <f xmlns="http://schemas.openxmlformats.org/spreadsheetml/2006/main">ROUND(BASE_PRICES!B7*(1+DETAILS!$B$30)/DETAILS!$B$26,2)</f>
        <v>5.4</v>
      </c>
      <c r="G8" s="24">
        <v>0</v>
      </c>
      <c r="H8" s="28" t="str">
        <f xmlns="http://schemas.openxmlformats.org/spreadsheetml/2006/main">IF(ISNUMBER(PRICES!V7),ROUND(PRICES!V7*(1+DETAILS!$B$30)/DETAILS!$B$26,4),"")</f>
        <v>0</v>
      </c>
      <c r="I8" s="29" t="str">
        <f>IF(AND(ISNUMBER(PRICES!V7),BASE_PRICES!B7&gt;0),1-PRICES!V7/BASE_PRICES!B7,"")</f>
        <v/>
      </c>
      <c r="J8" s="30" t="str">
        <f t="shared" si="0"/>
        <v/>
      </c>
      <c r="K8" s="6" t="s">
        <v>1</v>
      </c>
      <c r="L8" s="26" t="str">
        <f>IF(NOT(ISNUMBER(G8)),CHOOSE(DETAILS!$B$2,"Wpisz liczbę całkowitą ≥ 0","Enter a whole number ≥ 0","Ganze Zahl ≥ 0 eingeben","Saisir un entier ≥ 0","Introduzca un entero ≥ 0","Inserire un numero intero ≥ 0","Zadejte celé číslo ≥ 0","Zadajte celé číslo ≥ 0"),IF(OR(G8&lt;0,MOD(G8,1)&lt;&gt;0),CHOOSE(DETAILS!$B$2,"Wpisz liczbę całkowitą ≥ 0","Enter a whole number ≥ 0","Ganze Zahl ≥ 0 eingeben","Saisir un entier ≥ 0","Introduzca un entero ≥ 0","Inserire un numero intero ≥ 0","Zadejte celé číslo ≥ 0","Zadajte celé číslo ≥ 0"),IF(G8=0,"",IF(G8&lt;BASE_PRICES!D7,CHOOSE(DETAILS!$B$2,"Minimum: ","Minimum: ","Mindestmenge: ","Minimum : ","Mínimo: ","Minimo: ","Minimum: ","Minimum: ")&amp;BASE_PRICES!D7,IF(MOD(G8,BASE_PRICES!E7)&lt;&gt;0,CHOOSE(DETAILS!$B$2,"Wielokrotność: ","Order in multiples of: ","Bestellen in Vielfachen von: ","Commander par multiples de : ","Pedir en múltiplos de: ","Ordinare in multipli di: ","Objednávejte násobky: ","Objednávajte násobky: ")&amp;BASE_PRICES!E7,IF(ISNUMBER(H8),CHOOSE(DETAILS!$B$2,"Wyceniono","Priced","Bepreist","Chiffré","Calculado","Prezzo calcolato","Cena vypočtena","Cena vypočítaná"),CHOOSE(DETAILS!$B$2,"Cena na zapytanie","Price on request","Preis auf Anfrage","Prix sur demande","Precio a consultar","Prezzo su richiesta","Cena na dotaz","Cena na vyžiadanie")))))))</f>
        <v/>
      </c>
      <c r="M8" s="2"/>
      <c r="N8" s="2"/>
      <c r="O8" s="2"/>
      <c r="P8" s="2"/>
      <c r="Q8" s="2"/>
    </row>
    <row r="9" spans="1:17" ht="52" customHeight="1">
      <c r="A9" s="4" t="e" vm="4">
        <v>#VALUE!</v>
      </c>
      <c r="B9" s="43"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9" s="43" t="str">
        <f>CHOOSE(DETAILS!$B$2,"Zielona","Green","Grün","Verte","Verde","Verde","Zelená","Zelená")</f>
        <v>Green</v>
      </c>
      <c r="D9" s="1" t="s">
        <v>0</v>
      </c>
      <c r="E9" s="43" t="str">
        <f>CHOOSE(DETAILS!$B$2,"szt.","piece","Stück","pièce","unidad","pz.","ks","ks")</f>
        <v>piece</v>
      </c>
      <c r="F9" s="27">
        <f xmlns="http://schemas.openxmlformats.org/spreadsheetml/2006/main">ROUND(BASE_PRICES!B8*(1+DETAILS!$B$30)/DETAILS!$B$26,2)</f>
        <v>5.4</v>
      </c>
      <c r="G9" s="24">
        <v>0</v>
      </c>
      <c r="H9" s="28" t="str">
        <f xmlns="http://schemas.openxmlformats.org/spreadsheetml/2006/main">IF(ISNUMBER(PRICES!V8),ROUND(PRICES!V8*(1+DETAILS!$B$30)/DETAILS!$B$26,4),"")</f>
        <v>0</v>
      </c>
      <c r="I9" s="31" t="str">
        <f>IF(AND(ISNUMBER(PRICES!V8),BASE_PRICES!B8&gt;0),1-PRICES!V8/BASE_PRICES!B8,"")</f>
        <v/>
      </c>
      <c r="J9" s="22" t="str">
        <f t="shared" si="0"/>
        <v/>
      </c>
      <c r="K9" s="7" t="s">
        <v>1</v>
      </c>
      <c r="L9" s="21" t="str">
        <f>IF(NOT(ISNUMBER(G9)),CHOOSE(DETAILS!$B$2,"Wpisz liczbę całkowitą ≥ 0","Enter a whole number ≥ 0","Ganze Zahl ≥ 0 eingeben","Saisir un entier ≥ 0","Introduzca un entero ≥ 0","Inserire un numero intero ≥ 0","Zadejte celé číslo ≥ 0","Zadajte celé číslo ≥ 0"),IF(OR(G9&lt;0,MOD(G9,1)&lt;&gt;0),CHOOSE(DETAILS!$B$2,"Wpisz liczbę całkowitą ≥ 0","Enter a whole number ≥ 0","Ganze Zahl ≥ 0 eingeben","Saisir un entier ≥ 0","Introduzca un entero ≥ 0","Inserire un numero intero ≥ 0","Zadejte celé číslo ≥ 0","Zadajte celé číslo ≥ 0"),IF(G9=0,"",IF(G9&lt;BASE_PRICES!D8,CHOOSE(DETAILS!$B$2,"Minimum: ","Minimum: ","Mindestmenge: ","Minimum : ","Mínimo: ","Minimo: ","Minimum: ","Minimum: ")&amp;BASE_PRICES!D8,IF(MOD(G9,BASE_PRICES!E8)&lt;&gt;0,CHOOSE(DETAILS!$B$2,"Wielokrotność: ","Order in multiples of: ","Bestellen in Vielfachen von: ","Commander par multiples de : ","Pedir en múltiplos de: ","Ordinare in multipli di: ","Objednávejte násobky: ","Objednávajte násobky: ")&amp;BASE_PRICES!E8,IF(ISNUMBER(H9),CHOOSE(DETAILS!$B$2,"Wyceniono","Priced","Bepreist","Chiffré","Calculado","Prezzo calcolato","Cena vypočtena","Cena vypočítaná"),CHOOSE(DETAILS!$B$2,"Cena na zapytanie","Price on request","Preis auf Anfrage","Prix sur demande","Precio a consultar","Prezzo su richiesta","Cena na dotaz","Cena na vyžiadanie")))))))</f>
        <v/>
      </c>
      <c r="M9" s="2"/>
      <c r="N9" s="2"/>
      <c r="O9" s="2"/>
      <c r="P9" s="2"/>
      <c r="Q9" s="2"/>
    </row>
    <row r="10" spans="1:17" ht="52" customHeight="1">
      <c r="A10" s="4" t="e" vm="5">
        <v>#VALUE!</v>
      </c>
      <c r="B10"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0" s="47" t="str">
        <f>CHOOSE(DETAILS!$B$2,"Złota","Gold","Gold","Dorée","Dorada","Oro","Zlatá","Zlatá")</f>
        <v>Gold</v>
      </c>
      <c r="D10" s="5" t="s">
        <v>0</v>
      </c>
      <c r="E10" s="47" t="str">
        <f>CHOOSE(DETAILS!$B$2,"szt.","piece","Stück","pièce","unidad","pz.","ks","ks")</f>
        <v>piece</v>
      </c>
      <c r="F10" s="27">
        <f xmlns="http://schemas.openxmlformats.org/spreadsheetml/2006/main">ROUND(BASE_PRICES!B9*(1+DETAILS!$B$30)/DETAILS!$B$26,2)</f>
        <v>6.4</v>
      </c>
      <c r="G10" s="24">
        <v>0</v>
      </c>
      <c r="H10" s="28" t="str">
        <f xmlns="http://schemas.openxmlformats.org/spreadsheetml/2006/main">IF(ISNUMBER(PRICES!V9),ROUND(PRICES!V9*(1+DETAILS!$B$30)/DETAILS!$B$26,4),"")</f>
        <v>0</v>
      </c>
      <c r="I10" s="29" t="str">
        <f>IF(AND(ISNUMBER(PRICES!V9),BASE_PRICES!B9&gt;0),1-PRICES!V9/BASE_PRICES!B9,"")</f>
        <v/>
      </c>
      <c r="J10" s="30" t="str">
        <f t="shared" si="0"/>
        <v/>
      </c>
      <c r="K10" s="6" t="s">
        <v>1</v>
      </c>
      <c r="L10" s="26" t="str">
        <f>IF(NOT(ISNUMBER(G10)),CHOOSE(DETAILS!$B$2,"Wpisz liczbę całkowitą ≥ 0","Enter a whole number ≥ 0","Ganze Zahl ≥ 0 eingeben","Saisir un entier ≥ 0","Introduzca un entero ≥ 0","Inserire un numero intero ≥ 0","Zadejte celé číslo ≥ 0","Zadajte celé číslo ≥ 0"),IF(OR(G10&lt;0,MOD(G10,1)&lt;&gt;0),CHOOSE(DETAILS!$B$2,"Wpisz liczbę całkowitą ≥ 0","Enter a whole number ≥ 0","Ganze Zahl ≥ 0 eingeben","Saisir un entier ≥ 0","Introduzca un entero ≥ 0","Inserire un numero intero ≥ 0","Zadejte celé číslo ≥ 0","Zadajte celé číslo ≥ 0"),IF(G10=0,"",IF(G10&lt;BASE_PRICES!D9,CHOOSE(DETAILS!$B$2,"Minimum: ","Minimum: ","Mindestmenge: ","Minimum : ","Mínimo: ","Minimo: ","Minimum: ","Minimum: ")&amp;BASE_PRICES!D9,IF(MOD(G10,BASE_PRICES!E9)&lt;&gt;0,CHOOSE(DETAILS!$B$2,"Wielokrotność: ","Order in multiples of: ","Bestellen in Vielfachen von: ","Commander par multiples de : ","Pedir en múltiplos de: ","Ordinare in multipli di: ","Objednávejte násobky: ","Objednávajte násobky: ")&amp;BASE_PRICES!E9,IF(ISNUMBER(H10),CHOOSE(DETAILS!$B$2,"Wyceniono","Priced","Bepreist","Chiffré","Calculado","Prezzo calcolato","Cena vypočtena","Cena vypočítaná"),CHOOSE(DETAILS!$B$2,"Cena na zapytanie","Price on request","Preis auf Anfrage","Prix sur demande","Precio a consultar","Prezzo su richiesta","Cena na dotaz","Cena na vyžiadanie")))))))</f>
        <v/>
      </c>
      <c r="M10" s="2"/>
      <c r="N10" s="2"/>
      <c r="O10" s="2"/>
      <c r="P10" s="2"/>
      <c r="Q10" s="2"/>
    </row>
    <row r="11" spans="1:17" ht="52" customHeight="1">
      <c r="A11" s="4" t="e" vm="6">
        <v>#VALUE!</v>
      </c>
      <c r="B11" s="43"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1" s="43" t="str">
        <f>CHOOSE(DETAILS!$B$2,"Brązowa","Brown","Braun","Marron","Marrón","Marrone","Hnědá","Hnedá")</f>
        <v>Brown</v>
      </c>
      <c r="D11" s="1" t="s">
        <v>0</v>
      </c>
      <c r="E11" s="43" t="str">
        <f>CHOOSE(DETAILS!$B$2,"szt.","piece","Stück","pièce","unidad","pz.","ks","ks")</f>
        <v>piece</v>
      </c>
      <c r="F11" s="27">
        <f xmlns="http://schemas.openxmlformats.org/spreadsheetml/2006/main">ROUND(BASE_PRICES!B10*(1+DETAILS!$B$30)/DETAILS!$B$26,2)</f>
        <v>5.2</v>
      </c>
      <c r="G11" s="24">
        <v>0</v>
      </c>
      <c r="H11" s="28" t="str">
        <f xmlns="http://schemas.openxmlformats.org/spreadsheetml/2006/main">IF(ISNUMBER(PRICES!V10),ROUND(PRICES!V10*(1+DETAILS!$B$30)/DETAILS!$B$26,4),"")</f>
        <v>0</v>
      </c>
      <c r="I11" s="31" t="str">
        <f>IF(AND(ISNUMBER(PRICES!V10),BASE_PRICES!B10&gt;0),1-PRICES!V10/BASE_PRICES!B10,"")</f>
        <v/>
      </c>
      <c r="J11" s="22" t="str">
        <f t="shared" si="0"/>
        <v/>
      </c>
      <c r="K11" s="7" t="s">
        <v>1</v>
      </c>
      <c r="L11" s="21" t="str">
        <f>IF(NOT(ISNUMBER(G11)),CHOOSE(DETAILS!$B$2,"Wpisz liczbę całkowitą ≥ 0","Enter a whole number ≥ 0","Ganze Zahl ≥ 0 eingeben","Saisir un entier ≥ 0","Introduzca un entero ≥ 0","Inserire un numero intero ≥ 0","Zadejte celé číslo ≥ 0","Zadajte celé číslo ≥ 0"),IF(OR(G11&lt;0,MOD(G11,1)&lt;&gt;0),CHOOSE(DETAILS!$B$2,"Wpisz liczbę całkowitą ≥ 0","Enter a whole number ≥ 0","Ganze Zahl ≥ 0 eingeben","Saisir un entier ≥ 0","Introduzca un entero ≥ 0","Inserire un numero intero ≥ 0","Zadejte celé číslo ≥ 0","Zadajte celé číslo ≥ 0"),IF(G11=0,"",IF(G11&lt;BASE_PRICES!D10,CHOOSE(DETAILS!$B$2,"Minimum: ","Minimum: ","Mindestmenge: ","Minimum : ","Mínimo: ","Minimo: ","Minimum: ","Minimum: ")&amp;BASE_PRICES!D10,IF(MOD(G11,BASE_PRICES!E10)&lt;&gt;0,CHOOSE(DETAILS!$B$2,"Wielokrotność: ","Order in multiples of: ","Bestellen in Vielfachen von: ","Commander par multiples de : ","Pedir en múltiplos de: ","Ordinare in multipli di: ","Objednávejte násobky: ","Objednávajte násobky: ")&amp;BASE_PRICES!E10,IF(ISNUMBER(H11),CHOOSE(DETAILS!$B$2,"Wyceniono","Priced","Bepreist","Chiffré","Calculado","Prezzo calcolato","Cena vypočtena","Cena vypočítaná"),CHOOSE(DETAILS!$B$2,"Cena na zapytanie","Price on request","Preis auf Anfrage","Prix sur demande","Precio a consultar","Prezzo su richiesta","Cena na dotaz","Cena na vyžiadanie")))))))</f>
        <v/>
      </c>
      <c r="M11" s="2"/>
      <c r="N11" s="2"/>
      <c r="O11" s="2"/>
      <c r="P11" s="2"/>
      <c r="Q11" s="2"/>
    </row>
    <row r="12" spans="1:17" ht="52" customHeight="1">
      <c r="A12" s="4" t="e" vm="7">
        <v>#VALUE!</v>
      </c>
      <c r="B12"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2" s="47" t="str">
        <f>CHOOSE(DETAILS!$B$2,"Pomarańczowa","Orange","Orange","Orange","Naranja","Arancione","Oranžová","Oranžová")</f>
        <v>Orange</v>
      </c>
      <c r="D12" s="5" t="s">
        <v>0</v>
      </c>
      <c r="E12" s="47" t="str">
        <f>CHOOSE(DETAILS!$B$2,"szt.","piece","Stück","pièce","unidad","pz.","ks","ks")</f>
        <v>piece</v>
      </c>
      <c r="F12" s="27">
        <f xmlns="http://schemas.openxmlformats.org/spreadsheetml/2006/main">ROUND(BASE_PRICES!B11*(1+DETAILS!$B$30)/DETAILS!$B$26,2)</f>
        <v>5.4</v>
      </c>
      <c r="G12" s="24">
        <v>0</v>
      </c>
      <c r="H12" s="28" t="str">
        <f xmlns="http://schemas.openxmlformats.org/spreadsheetml/2006/main">IF(ISNUMBER(PRICES!V11),ROUND(PRICES!V11*(1+DETAILS!$B$30)/DETAILS!$B$26,4),"")</f>
        <v>0</v>
      </c>
      <c r="I12" s="29" t="str">
        <f>IF(AND(ISNUMBER(PRICES!V11),BASE_PRICES!B11&gt;0),1-PRICES!V11/BASE_PRICES!B11,"")</f>
        <v/>
      </c>
      <c r="J12" s="30" t="str">
        <f t="shared" si="0"/>
        <v/>
      </c>
      <c r="K12" s="6" t="s">
        <v>1</v>
      </c>
      <c r="L12" s="26" t="str">
        <f>IF(NOT(ISNUMBER(G12)),CHOOSE(DETAILS!$B$2,"Wpisz liczbę całkowitą ≥ 0","Enter a whole number ≥ 0","Ganze Zahl ≥ 0 eingeben","Saisir un entier ≥ 0","Introduzca un entero ≥ 0","Inserire un numero intero ≥ 0","Zadejte celé číslo ≥ 0","Zadajte celé číslo ≥ 0"),IF(OR(G12&lt;0,MOD(G12,1)&lt;&gt;0),CHOOSE(DETAILS!$B$2,"Wpisz liczbę całkowitą ≥ 0","Enter a whole number ≥ 0","Ganze Zahl ≥ 0 eingeben","Saisir un entier ≥ 0","Introduzca un entero ≥ 0","Inserire un numero intero ≥ 0","Zadejte celé číslo ≥ 0","Zadajte celé číslo ≥ 0"),IF(G12=0,"",IF(G12&lt;BASE_PRICES!D11,CHOOSE(DETAILS!$B$2,"Minimum: ","Minimum: ","Mindestmenge: ","Minimum : ","Mínimo: ","Minimo: ","Minimum: ","Minimum: ")&amp;BASE_PRICES!D11,IF(MOD(G12,BASE_PRICES!E11)&lt;&gt;0,CHOOSE(DETAILS!$B$2,"Wielokrotność: ","Order in multiples of: ","Bestellen in Vielfachen von: ","Commander par multiples de : ","Pedir en múltiplos de: ","Ordinare in multipli di: ","Objednávejte násobky: ","Objednávajte násobky: ")&amp;BASE_PRICES!E11,IF(ISNUMBER(H12),CHOOSE(DETAILS!$B$2,"Wyceniono","Priced","Bepreist","Chiffré","Calculado","Prezzo calcolato","Cena vypočtena","Cena vypočítaná"),CHOOSE(DETAILS!$B$2,"Cena na zapytanie","Price on request","Preis auf Anfrage","Prix sur demande","Precio a consultar","Prezzo su richiesta","Cena na dotaz","Cena na vyžiadanie")))))))</f>
        <v/>
      </c>
      <c r="M12" s="2"/>
      <c r="N12" s="2"/>
      <c r="O12" s="2"/>
      <c r="P12" s="2"/>
      <c r="Q12" s="2"/>
    </row>
    <row r="13" spans="1:17" ht="52" customHeight="1">
      <c r="A13" s="4" t="e" vm="8">
        <v>#VALUE!</v>
      </c>
      <c r="B13" s="43"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3" s="43" t="str">
        <f>CHOOSE(DETAILS!$B$2,"Różowa","Pink","Rosa","Rose","Rosa","Rosa","Růžová","Ružová")</f>
        <v>Pink</v>
      </c>
      <c r="D13" s="1" t="s">
        <v>0</v>
      </c>
      <c r="E13" s="43" t="str">
        <f>CHOOSE(DETAILS!$B$2,"szt.","piece","Stück","pièce","unidad","pz.","ks","ks")</f>
        <v>piece</v>
      </c>
      <c r="F13" s="27">
        <f xmlns="http://schemas.openxmlformats.org/spreadsheetml/2006/main">ROUND(BASE_PRICES!B12*(1+DETAILS!$B$30)/DETAILS!$B$26,2)</f>
        <v>6.1</v>
      </c>
      <c r="G13" s="24">
        <v>0</v>
      </c>
      <c r="H13" s="28" t="str">
        <f xmlns="http://schemas.openxmlformats.org/spreadsheetml/2006/main">IF(ISNUMBER(PRICES!V12),ROUND(PRICES!V12*(1+DETAILS!$B$30)/DETAILS!$B$26,4),"")</f>
        <v>0</v>
      </c>
      <c r="I13" s="31" t="str">
        <f>IF(AND(ISNUMBER(PRICES!V12),BASE_PRICES!B12&gt;0),1-PRICES!V12/BASE_PRICES!B12,"")</f>
        <v/>
      </c>
      <c r="J13" s="22" t="str">
        <f t="shared" si="0"/>
        <v/>
      </c>
      <c r="K13" s="7" t="s">
        <v>1</v>
      </c>
      <c r="L13" s="21" t="str">
        <f>IF(NOT(ISNUMBER(G13)),CHOOSE(DETAILS!$B$2,"Wpisz liczbę całkowitą ≥ 0","Enter a whole number ≥ 0","Ganze Zahl ≥ 0 eingeben","Saisir un entier ≥ 0","Introduzca un entero ≥ 0","Inserire un numero intero ≥ 0","Zadejte celé číslo ≥ 0","Zadajte celé číslo ≥ 0"),IF(OR(G13&lt;0,MOD(G13,1)&lt;&gt;0),CHOOSE(DETAILS!$B$2,"Wpisz liczbę całkowitą ≥ 0","Enter a whole number ≥ 0","Ganze Zahl ≥ 0 eingeben","Saisir un entier ≥ 0","Introduzca un entero ≥ 0","Inserire un numero intero ≥ 0","Zadejte celé číslo ≥ 0","Zadajte celé číslo ≥ 0"),IF(G13=0,"",IF(G13&lt;BASE_PRICES!D12,CHOOSE(DETAILS!$B$2,"Minimum: ","Minimum: ","Mindestmenge: ","Minimum : ","Mínimo: ","Minimo: ","Minimum: ","Minimum: ")&amp;BASE_PRICES!D12,IF(MOD(G13,BASE_PRICES!E12)&lt;&gt;0,CHOOSE(DETAILS!$B$2,"Wielokrotność: ","Order in multiples of: ","Bestellen in Vielfachen von: ","Commander par multiples de : ","Pedir en múltiplos de: ","Ordinare in multipli di: ","Objednávejte násobky: ","Objednávajte násobky: ")&amp;BASE_PRICES!E12,IF(ISNUMBER(H13),CHOOSE(DETAILS!$B$2,"Wyceniono","Priced","Bepreist","Chiffré","Calculado","Prezzo calcolato","Cena vypočtena","Cena vypočítaná"),CHOOSE(DETAILS!$B$2,"Cena na zapytanie","Price on request","Preis auf Anfrage","Prix sur demande","Precio a consultar","Prezzo su richiesta","Cena na dotaz","Cena na vyžiadanie")))))))</f>
        <v/>
      </c>
      <c r="M13" s="2"/>
      <c r="N13" s="2"/>
      <c r="O13" s="2"/>
      <c r="P13" s="2"/>
      <c r="Q13" s="2"/>
    </row>
    <row r="14" spans="1:17" ht="52" customHeight="1">
      <c r="A14" s="4" t="e" vm="9">
        <v>#VALUE!</v>
      </c>
      <c r="B14"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4" s="47" t="str">
        <f>CHOOSE(DETAILS!$B$2,"Niebieska","Blue","Blau","Bleue","Azul","Blu","Modrá","Modrá")</f>
        <v>Blue</v>
      </c>
      <c r="D14" s="5" t="s">
        <v>0</v>
      </c>
      <c r="E14" s="47" t="str">
        <f>CHOOSE(DETAILS!$B$2,"szt.","piece","Stück","pièce","unidad","pz.","ks","ks")</f>
        <v>piece</v>
      </c>
      <c r="F14" s="27">
        <f xmlns="http://schemas.openxmlformats.org/spreadsheetml/2006/main">ROUND(BASE_PRICES!B13*(1+DETAILS!$B$30)/DETAILS!$B$26,2)</f>
        <v>6.1</v>
      </c>
      <c r="G14" s="24">
        <v>0</v>
      </c>
      <c r="H14" s="28" t="str">
        <f xmlns="http://schemas.openxmlformats.org/spreadsheetml/2006/main">IF(ISNUMBER(PRICES!V13),ROUND(PRICES!V13*(1+DETAILS!$B$30)/DETAILS!$B$26,4),"")</f>
        <v>0</v>
      </c>
      <c r="I14" s="29" t="str">
        <f>IF(AND(ISNUMBER(PRICES!V13),BASE_PRICES!B13&gt;0),1-PRICES!V13/BASE_PRICES!B13,"")</f>
        <v/>
      </c>
      <c r="J14" s="30" t="str">
        <f t="shared" si="0"/>
        <v/>
      </c>
      <c r="K14" s="6" t="s">
        <v>1</v>
      </c>
      <c r="L14" s="26" t="str">
        <f>IF(NOT(ISNUMBER(G14)),CHOOSE(DETAILS!$B$2,"Wpisz liczbę całkowitą ≥ 0","Enter a whole number ≥ 0","Ganze Zahl ≥ 0 eingeben","Saisir un entier ≥ 0","Introduzca un entero ≥ 0","Inserire un numero intero ≥ 0","Zadejte celé číslo ≥ 0","Zadajte celé číslo ≥ 0"),IF(OR(G14&lt;0,MOD(G14,1)&lt;&gt;0),CHOOSE(DETAILS!$B$2,"Wpisz liczbę całkowitą ≥ 0","Enter a whole number ≥ 0","Ganze Zahl ≥ 0 eingeben","Saisir un entier ≥ 0","Introduzca un entero ≥ 0","Inserire un numero intero ≥ 0","Zadejte celé číslo ≥ 0","Zadajte celé číslo ≥ 0"),IF(G14=0,"",IF(G14&lt;BASE_PRICES!D13,CHOOSE(DETAILS!$B$2,"Minimum: ","Minimum: ","Mindestmenge: ","Minimum : ","Mínimo: ","Minimo: ","Minimum: ","Minimum: ")&amp;BASE_PRICES!D13,IF(MOD(G14,BASE_PRICES!E13)&lt;&gt;0,CHOOSE(DETAILS!$B$2,"Wielokrotność: ","Order in multiples of: ","Bestellen in Vielfachen von: ","Commander par multiples de : ","Pedir en múltiplos de: ","Ordinare in multipli di: ","Objednávejte násobky: ","Objednávajte násobky: ")&amp;BASE_PRICES!E13,IF(ISNUMBER(H14),CHOOSE(DETAILS!$B$2,"Wyceniono","Priced","Bepreist","Chiffré","Calculado","Prezzo calcolato","Cena vypočtena","Cena vypočítaná"),CHOOSE(DETAILS!$B$2,"Cena na zapytanie","Price on request","Preis auf Anfrage","Prix sur demande","Precio a consultar","Prezzo su richiesta","Cena na dotaz","Cena na vyžiadanie")))))))</f>
        <v/>
      </c>
      <c r="M14" s="2"/>
      <c r="N14" s="2"/>
      <c r="O14" s="2"/>
      <c r="P14" s="2"/>
      <c r="Q14" s="2"/>
    </row>
    <row r="15" spans="1:17" ht="52" customHeight="1">
      <c r="A15" s="4" t="e" vm="10">
        <v>#VALUE!</v>
      </c>
      <c r="B15" s="43"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5" s="43" t="str">
        <f>CHOOSE(DETAILS!$B$2,"Srebrna","Silver","Silber","Argentée","Plateada","Argento","Stříbrná","Strieborná")</f>
        <v>Silver</v>
      </c>
      <c r="D15" s="1" t="s">
        <v>0</v>
      </c>
      <c r="E15" s="43" t="str">
        <f>CHOOSE(DETAILS!$B$2,"szt.","piece","Stück","pièce","unidad","pz.","ks","ks")</f>
        <v>piece</v>
      </c>
      <c r="F15" s="27">
        <f xmlns="http://schemas.openxmlformats.org/spreadsheetml/2006/main">ROUND(BASE_PRICES!B14*(1+DETAILS!$B$30)/DETAILS!$B$26,2)</f>
        <v>6.4</v>
      </c>
      <c r="G15" s="24">
        <v>0</v>
      </c>
      <c r="H15" s="28" t="str">
        <f xmlns="http://schemas.openxmlformats.org/spreadsheetml/2006/main">IF(ISNUMBER(PRICES!V14),ROUND(PRICES!V14*(1+DETAILS!$B$30)/DETAILS!$B$26,4),"")</f>
        <v>0</v>
      </c>
      <c r="I15" s="31" t="str">
        <f>IF(AND(ISNUMBER(PRICES!V14),BASE_PRICES!B14&gt;0),1-PRICES!V14/BASE_PRICES!B14,"")</f>
        <v/>
      </c>
      <c r="J15" s="22" t="str">
        <f t="shared" si="0"/>
        <v/>
      </c>
      <c r="K15" s="7" t="s">
        <v>1</v>
      </c>
      <c r="L15" s="21" t="str">
        <f>IF(NOT(ISNUMBER(G15)),CHOOSE(DETAILS!$B$2,"Wpisz liczbę całkowitą ≥ 0","Enter a whole number ≥ 0","Ganze Zahl ≥ 0 eingeben","Saisir un entier ≥ 0","Introduzca un entero ≥ 0","Inserire un numero intero ≥ 0","Zadejte celé číslo ≥ 0","Zadajte celé číslo ≥ 0"),IF(OR(G15&lt;0,MOD(G15,1)&lt;&gt;0),CHOOSE(DETAILS!$B$2,"Wpisz liczbę całkowitą ≥ 0","Enter a whole number ≥ 0","Ganze Zahl ≥ 0 eingeben","Saisir un entier ≥ 0","Introduzca un entero ≥ 0","Inserire un numero intero ≥ 0","Zadejte celé číslo ≥ 0","Zadajte celé číslo ≥ 0"),IF(G15=0,"",IF(G15&lt;BASE_PRICES!D14,CHOOSE(DETAILS!$B$2,"Minimum: ","Minimum: ","Mindestmenge: ","Minimum : ","Mínimo: ","Minimo: ","Minimum: ","Minimum: ")&amp;BASE_PRICES!D14,IF(MOD(G15,BASE_PRICES!E14)&lt;&gt;0,CHOOSE(DETAILS!$B$2,"Wielokrotność: ","Order in multiples of: ","Bestellen in Vielfachen von: ","Commander par multiples de : ","Pedir en múltiplos de: ","Ordinare in multipli di: ","Objednávejte násobky: ","Objednávajte násobky: ")&amp;BASE_PRICES!E14,IF(ISNUMBER(H15),CHOOSE(DETAILS!$B$2,"Wyceniono","Priced","Bepreist","Chiffré","Calculado","Prezzo calcolato","Cena vypočtena","Cena vypočítaná"),CHOOSE(DETAILS!$B$2,"Cena na zapytanie","Price on request","Preis auf Anfrage","Prix sur demande","Precio a consultar","Prezzo su richiesta","Cena na dotaz","Cena na vyžiadanie")))))))</f>
        <v/>
      </c>
      <c r="M15" s="2"/>
      <c r="N15" s="2"/>
      <c r="O15" s="2"/>
      <c r="P15" s="2"/>
      <c r="Q15" s="2"/>
    </row>
    <row r="16" spans="1:17" ht="52" customHeight="1">
      <c r="A16" s="4" t="e" vm="11">
        <v>#VALUE!</v>
      </c>
      <c r="B16"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6" s="47" t="str">
        <f>CHOOSE(DETAILS!$B$2,"Fioletowa","Purple","Violett","Violette","Violeta","Viola","Fialová","Fialová")</f>
        <v>Purple</v>
      </c>
      <c r="D16" s="5" t="s">
        <v>0</v>
      </c>
      <c r="E16" s="47" t="str">
        <f>CHOOSE(DETAILS!$B$2,"szt.","piece","Stück","pièce","unidad","pz.","ks","ks")</f>
        <v>piece</v>
      </c>
      <c r="F16" s="27">
        <f xmlns="http://schemas.openxmlformats.org/spreadsheetml/2006/main">ROUND(BASE_PRICES!B15*(1+DETAILS!$B$30)/DETAILS!$B$26,2)</f>
        <v>5.9</v>
      </c>
      <c r="G16" s="24">
        <v>0</v>
      </c>
      <c r="H16" s="28" t="str">
        <f xmlns="http://schemas.openxmlformats.org/spreadsheetml/2006/main">IF(ISNUMBER(PRICES!V15),ROUND(PRICES!V15*(1+DETAILS!$B$30)/DETAILS!$B$26,4),"")</f>
        <v>0</v>
      </c>
      <c r="I16" s="29" t="str">
        <f>IF(AND(ISNUMBER(PRICES!V15),BASE_PRICES!B15&gt;0),1-PRICES!V15/BASE_PRICES!B15,"")</f>
        <v/>
      </c>
      <c r="J16" s="30" t="str">
        <f t="shared" si="0"/>
        <v/>
      </c>
      <c r="K16" s="6" t="s">
        <v>1</v>
      </c>
      <c r="L16" s="26" t="str">
        <f>IF(NOT(ISNUMBER(G16)),CHOOSE(DETAILS!$B$2,"Wpisz liczbę całkowitą ≥ 0","Enter a whole number ≥ 0","Ganze Zahl ≥ 0 eingeben","Saisir un entier ≥ 0","Introduzca un entero ≥ 0","Inserire un numero intero ≥ 0","Zadejte celé číslo ≥ 0","Zadajte celé číslo ≥ 0"),IF(OR(G16&lt;0,MOD(G16,1)&lt;&gt;0),CHOOSE(DETAILS!$B$2,"Wpisz liczbę całkowitą ≥ 0","Enter a whole number ≥ 0","Ganze Zahl ≥ 0 eingeben","Saisir un entier ≥ 0","Introduzca un entero ≥ 0","Inserire un numero intero ≥ 0","Zadejte celé číslo ≥ 0","Zadajte celé číslo ≥ 0"),IF(G16=0,"",IF(G16&lt;BASE_PRICES!D15,CHOOSE(DETAILS!$B$2,"Minimum: ","Minimum: ","Mindestmenge: ","Minimum : ","Mínimo: ","Minimo: ","Minimum: ","Minimum: ")&amp;BASE_PRICES!D15,IF(MOD(G16,BASE_PRICES!E15)&lt;&gt;0,CHOOSE(DETAILS!$B$2,"Wielokrotność: ","Order in multiples of: ","Bestellen in Vielfachen von: ","Commander par multiples de : ","Pedir en múltiplos de: ","Ordinare in multipli di: ","Objednávejte násobky: ","Objednávajte násobky: ")&amp;BASE_PRICES!E15,IF(ISNUMBER(H16),CHOOSE(DETAILS!$B$2,"Wyceniono","Priced","Bepreist","Chiffré","Calculado","Prezzo calcolato","Cena vypočtena","Cena vypočítaná"),CHOOSE(DETAILS!$B$2,"Cena na zapytanie","Price on request","Preis auf Anfrage","Prix sur demande","Precio a consultar","Prezzo su richiesta","Cena na dotaz","Cena na vyžiadanie")))))))</f>
        <v/>
      </c>
      <c r="M16" s="2"/>
      <c r="N16" s="2"/>
      <c r="O16" s="2"/>
      <c r="P16" s="2"/>
      <c r="Q16" s="2"/>
    </row>
    <row r="17" spans="1:17" ht="52" customHeight="1">
      <c r="A17" s="4" t="e" vm="12">
        <v>#VALUE!</v>
      </c>
      <c r="B17" s="43"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7" s="43" t="str">
        <f>CHOOSE(DETAILS!$B$2,"Czerwona","Red","Rot","Rouge","Roja","Rosso","Červená","Červená")</f>
        <v>Red</v>
      </c>
      <c r="D17" s="1" t="s">
        <v>0</v>
      </c>
      <c r="E17" s="43" t="str">
        <f>CHOOSE(DETAILS!$B$2,"szt.","piece","Stück","pièce","unidad","pz.","ks","ks")</f>
        <v>piece</v>
      </c>
      <c r="F17" s="27">
        <f xmlns="http://schemas.openxmlformats.org/spreadsheetml/2006/main">ROUND(BASE_PRICES!B16*(1+DETAILS!$B$30)/DETAILS!$B$26,2)</f>
        <v>5.4</v>
      </c>
      <c r="G17" s="24">
        <v>0</v>
      </c>
      <c r="H17" s="28" t="str">
        <f xmlns="http://schemas.openxmlformats.org/spreadsheetml/2006/main">IF(ISNUMBER(PRICES!V16),ROUND(PRICES!V16*(1+DETAILS!$B$30)/DETAILS!$B$26,4),"")</f>
        <v>0</v>
      </c>
      <c r="I17" s="31" t="str">
        <f>IF(AND(ISNUMBER(PRICES!V16),BASE_PRICES!B16&gt;0),1-PRICES!V16/BASE_PRICES!B16,"")</f>
        <v/>
      </c>
      <c r="J17" s="22" t="str">
        <f t="shared" si="0"/>
        <v/>
      </c>
      <c r="K17" s="7" t="s">
        <v>1</v>
      </c>
      <c r="L17" s="21" t="str">
        <f>IF(NOT(ISNUMBER(G17)),CHOOSE(DETAILS!$B$2,"Wpisz liczbę całkowitą ≥ 0","Enter a whole number ≥ 0","Ganze Zahl ≥ 0 eingeben","Saisir un entier ≥ 0","Introduzca un entero ≥ 0","Inserire un numero intero ≥ 0","Zadejte celé číslo ≥ 0","Zadajte celé číslo ≥ 0"),IF(OR(G17&lt;0,MOD(G17,1)&lt;&gt;0),CHOOSE(DETAILS!$B$2,"Wpisz liczbę całkowitą ≥ 0","Enter a whole number ≥ 0","Ganze Zahl ≥ 0 eingeben","Saisir un entier ≥ 0","Introduzca un entero ≥ 0","Inserire un numero intero ≥ 0","Zadejte celé číslo ≥ 0","Zadajte celé číslo ≥ 0"),IF(G17=0,"",IF(G17&lt;BASE_PRICES!D16,CHOOSE(DETAILS!$B$2,"Minimum: ","Minimum: ","Mindestmenge: ","Minimum : ","Mínimo: ","Minimo: ","Minimum: ","Minimum: ")&amp;BASE_PRICES!D16,IF(MOD(G17,BASE_PRICES!E16)&lt;&gt;0,CHOOSE(DETAILS!$B$2,"Wielokrotność: ","Order in multiples of: ","Bestellen in Vielfachen von: ","Commander par multiples de : ","Pedir en múltiplos de: ","Ordinare in multipli di: ","Objednávejte násobky: ","Objednávajte násobky: ")&amp;BASE_PRICES!E16,IF(ISNUMBER(H17),CHOOSE(DETAILS!$B$2,"Wyceniono","Priced","Bepreist","Chiffré","Calculado","Prezzo calcolato","Cena vypočtena","Cena vypočítaná"),CHOOSE(DETAILS!$B$2,"Cena na zapytanie","Price on request","Preis auf Anfrage","Prix sur demande","Precio a consultar","Prezzo su richiesta","Cena na dotaz","Cena na vyžiadanie")))))))</f>
        <v/>
      </c>
      <c r="M17" s="2"/>
      <c r="N17" s="2"/>
      <c r="O17" s="2"/>
      <c r="P17" s="2"/>
      <c r="Q17" s="2"/>
    </row>
    <row r="18" spans="1:17" ht="52" customHeight="1">
      <c r="A18" s="4" t="e" vm="13">
        <v>#VALUE!</v>
      </c>
      <c r="B18" s="47" t="str">
        <f>CHOOSE(DETAILS!$B$2,"Kolorowa świeca z wosku pszczelego","Coloured beeswax candle","Farbige Bienenwachskerze","Bougie colorée en cire d’abeille","Vela de cera de abeja de color","Candela colorata in cera d’api","Barevná svíčka ze včelího vosku","Farebná sviečka zo včelieho vosku")</f>
        <v>Coloured beeswax candle</v>
      </c>
      <c r="C18" s="47" t="str">
        <f>CHOOSE(DETAILS!$B$2,"Czarna","Black","Schwarz","Noire","Negra","Nero","Černá","Čierna")</f>
        <v>Black</v>
      </c>
      <c r="D18" s="5" t="s">
        <v>0</v>
      </c>
      <c r="E18" s="47" t="str">
        <f>CHOOSE(DETAILS!$B$2,"szt.","piece","Stück","pièce","unidad","pz.","ks","ks")</f>
        <v>piece</v>
      </c>
      <c r="F18" s="27">
        <f xmlns="http://schemas.openxmlformats.org/spreadsheetml/2006/main">ROUND(BASE_PRICES!B17*(1+DETAILS!$B$30)/DETAILS!$B$26,2)</f>
        <v>5.9</v>
      </c>
      <c r="G18" s="24">
        <v>0</v>
      </c>
      <c r="H18" s="28" t="str">
        <f xmlns="http://schemas.openxmlformats.org/spreadsheetml/2006/main">IF(ISNUMBER(PRICES!V17),ROUND(PRICES!V17*(1+DETAILS!$B$30)/DETAILS!$B$26,4),"")</f>
        <v>0</v>
      </c>
      <c r="I18" s="29" t="str">
        <f>IF(AND(ISNUMBER(PRICES!V17),BASE_PRICES!B17&gt;0),1-PRICES!V17/BASE_PRICES!B17,"")</f>
        <v/>
      </c>
      <c r="J18" s="30" t="str">
        <f t="shared" si="0"/>
        <v/>
      </c>
      <c r="K18" s="6" t="s">
        <v>1</v>
      </c>
      <c r="L18" s="26" t="str">
        <f>IF(NOT(ISNUMBER(G18)),CHOOSE(DETAILS!$B$2,"Wpisz liczbę całkowitą ≥ 0","Enter a whole number ≥ 0","Ganze Zahl ≥ 0 eingeben","Saisir un entier ≥ 0","Introduzca un entero ≥ 0","Inserire un numero intero ≥ 0","Zadejte celé číslo ≥ 0","Zadajte celé číslo ≥ 0"),IF(OR(G18&lt;0,MOD(G18,1)&lt;&gt;0),CHOOSE(DETAILS!$B$2,"Wpisz liczbę całkowitą ≥ 0","Enter a whole number ≥ 0","Ganze Zahl ≥ 0 eingeben","Saisir un entier ≥ 0","Introduzca un entero ≥ 0","Inserire un numero intero ≥ 0","Zadejte celé číslo ≥ 0","Zadajte celé číslo ≥ 0"),IF(G18=0,"",IF(G18&lt;BASE_PRICES!D17,CHOOSE(DETAILS!$B$2,"Minimum: ","Minimum: ","Mindestmenge: ","Minimum : ","Mínimo: ","Minimo: ","Minimum: ","Minimum: ")&amp;BASE_PRICES!D17,IF(MOD(G18,BASE_PRICES!E17)&lt;&gt;0,CHOOSE(DETAILS!$B$2,"Wielokrotność: ","Order in multiples of: ","Bestellen in Vielfachen von: ","Commander par multiples de : ","Pedir en múltiplos de: ","Ordinare in multipli di: ","Objednávejte násobky: ","Objednávajte násobky: ")&amp;BASE_PRICES!E17,IF(ISNUMBER(H18),CHOOSE(DETAILS!$B$2,"Wyceniono","Priced","Bepreist","Chiffré","Calculado","Prezzo calcolato","Cena vypočtena","Cena vypočítaná"),CHOOSE(DETAILS!$B$2,"Cena na zapytanie","Price on request","Preis auf Anfrage","Prix sur demande","Precio a consultar","Prezzo su richiesta","Cena na dotaz","Cena na vyžiadanie")))))))</f>
        <v/>
      </c>
      <c r="M18" s="2"/>
      <c r="N18" s="2"/>
      <c r="O18" s="2"/>
      <c r="P18" s="2"/>
      <c r="Q18" s="2"/>
    </row>
    <row r="19" spans="1:17" ht="52" customHeight="1">
      <c r="A19" s="4" t="e" vm="14">
        <v>#VALUE!</v>
      </c>
      <c r="B19" s="43" t="str">
        <f>CHOOSE(DETAILS!$B$2,"Cienka świeca z wosku pszczelego","Thin beeswax candle","Dünne Bienenwachskerze","Bougie fine en cire d’abeille","Vela fina de cera de abeja","Candela sottile in cera d’api","Tenká svíčka ze včelího vosku","Tenká sviečka zo včelieho vosku")</f>
        <v>Thin beeswax candle</v>
      </c>
      <c r="C19" s="43" t="str">
        <f>CHOOSE(DETAILS!$B$2,"Biała","White","Weiß","Blanche","Blanca","Bianco","Bílá","Biela")</f>
        <v>White</v>
      </c>
      <c r="D19" s="1" t="s">
        <v>2</v>
      </c>
      <c r="E19" s="47" t="str">
        <f>CHOOSE(DETAILS!$B$2,"szt.","piece","Stück","pièce","unidad","pz.","ks","ks")</f>
        <v>piece</v>
      </c>
      <c r="F19" s="27">
        <f xmlns="http://schemas.openxmlformats.org/spreadsheetml/2006/main">ROUND(BASE_PRICES!B18*(1+DETAILS!$B$30)/DETAILS!$B$26,2)</f>
        <v>1.75</v>
      </c>
      <c r="G19" s="24">
        <v>0</v>
      </c>
      <c r="H19" s="28" t="str">
        <f xmlns="http://schemas.openxmlformats.org/spreadsheetml/2006/main">IF(ISNUMBER(PRICES!V18),ROUND(PRICES!V18*(1+DETAILS!$B$30)/DETAILS!$B$26,4),"")</f>
        <v>0</v>
      </c>
      <c r="I19" s="31" t="str">
        <f>IF(AND(ISNUMBER(PRICES!V18),BASE_PRICES!B18&gt;0),1-PRICES!V18/BASE_PRICES!B18,"")</f>
        <v/>
      </c>
      <c r="J19" s="22" t="str">
        <f t="shared" si="0"/>
        <v/>
      </c>
      <c r="K19" s="7" t="s">
        <v>1</v>
      </c>
      <c r="L19" s="21" t="str">
        <f>IF(NOT(ISNUMBER(G19)),CHOOSE(DETAILS!$B$2,"Wpisz liczbę całkowitą ≥ 0","Enter a whole number ≥ 0","Ganze Zahl ≥ 0 eingeben","Saisir un entier ≥ 0","Introduzca un entero ≥ 0","Inserire un numero intero ≥ 0","Zadejte celé číslo ≥ 0","Zadajte celé číslo ≥ 0"),IF(OR(G19&lt;0,MOD(G19,1)&lt;&gt;0),CHOOSE(DETAILS!$B$2,"Wpisz liczbę całkowitą ≥ 0","Enter a whole number ≥ 0","Ganze Zahl ≥ 0 eingeben","Saisir un entier ≥ 0","Introduzca un entero ≥ 0","Inserire un numero intero ≥ 0","Zadejte celé číslo ≥ 0","Zadajte celé číslo ≥ 0"),IF(G19=0,"",IF(G19&lt;BASE_PRICES!D18,CHOOSE(DETAILS!$B$2,"Minimum: ","Minimum: ","Mindestmenge: ","Minimum : ","Mínimo: ","Minimo: ","Minimum: ","Minimum: ")&amp;BASE_PRICES!D18,IF(MOD(G19,BASE_PRICES!E18)&lt;&gt;0,CHOOSE(DETAILS!$B$2,"Wielokrotność: ","Order in multiples of: ","Bestellen in Vielfachen von: ","Commander par multiples de : ","Pedir en múltiplos de: ","Ordinare in multipli di: ","Objednávejte násobky: ","Objednávajte násobky: ")&amp;BASE_PRICES!E18,IF(ISNUMBER(H19),CHOOSE(DETAILS!$B$2,"Wyceniono","Priced","Bepreist","Chiffré","Calculado","Prezzo calcolato","Cena vypočtena","Cena vypočítaná"),CHOOSE(DETAILS!$B$2,"Cena na zapytanie","Price on request","Preis auf Anfrage","Prix sur demande","Precio a consultar","Prezzo su richiesta","Cena na dotaz","Cena na vyžiadanie")))))))</f>
        <v/>
      </c>
      <c r="M19" s="2"/>
      <c r="N19" s="2"/>
      <c r="O19" s="2"/>
      <c r="P19" s="2"/>
      <c r="Q19" s="2"/>
    </row>
    <row r="20" spans="1:17" ht="52" customHeight="1">
      <c r="A20" s="4" t="e" vm="15">
        <v>#VALUE!</v>
      </c>
      <c r="B20" s="47" t="str">
        <f>CHOOSE(DETAILS!$B$2,"Cienka świeca z wosku pszczelego","Thin beeswax candle","Dünne Bienenwachskerze","Bougie fine en cire d’abeille","Vela fina de cera de abeja","Candela sottile in cera d’api","Tenká svíčka ze včelího vosku","Tenká sviečka zo včelieho vosku")</f>
        <v>Thin beeswax candle</v>
      </c>
      <c r="C20" s="47" t="str">
        <f>CHOOSE(DETAILS!$B$2,"Błękitna","Light blue","Hellblau","Bleu clair","Azul claro","Azzurro","Světle modrá","Svetlomodrá")</f>
        <v>Light blue</v>
      </c>
      <c r="D20" s="5" t="s">
        <v>2</v>
      </c>
      <c r="E20" s="47" t="str">
        <f>CHOOSE(DETAILS!$B$2,"szt.","piece","Stück","pièce","unidad","pz.","ks","ks")</f>
        <v>piece</v>
      </c>
      <c r="F20" s="27">
        <f xmlns="http://schemas.openxmlformats.org/spreadsheetml/2006/main">ROUND(BASE_PRICES!B19*(1+DETAILS!$B$30)/DETAILS!$B$26,2)</f>
        <v>1.75</v>
      </c>
      <c r="G20" s="24">
        <v>0</v>
      </c>
      <c r="H20" s="28" t="str">
        <f xmlns="http://schemas.openxmlformats.org/spreadsheetml/2006/main">IF(ISNUMBER(PRICES!V19),ROUND(PRICES!V19*(1+DETAILS!$B$30)/DETAILS!$B$26,4),"")</f>
        <v>0</v>
      </c>
      <c r="I20" s="29" t="str">
        <f>IF(AND(ISNUMBER(PRICES!V19),BASE_PRICES!B19&gt;0),1-PRICES!V19/BASE_PRICES!B19,"")</f>
        <v/>
      </c>
      <c r="J20" s="30" t="str">
        <f t="shared" si="0"/>
        <v/>
      </c>
      <c r="K20" s="6" t="s">
        <v>1</v>
      </c>
      <c r="L20" s="26" t="str">
        <f>IF(NOT(ISNUMBER(G20)),CHOOSE(DETAILS!$B$2,"Wpisz liczbę całkowitą ≥ 0","Enter a whole number ≥ 0","Ganze Zahl ≥ 0 eingeben","Saisir un entier ≥ 0","Introduzca un entero ≥ 0","Inserire un numero intero ≥ 0","Zadejte celé číslo ≥ 0","Zadajte celé číslo ≥ 0"),IF(OR(G20&lt;0,MOD(G20,1)&lt;&gt;0),CHOOSE(DETAILS!$B$2,"Wpisz liczbę całkowitą ≥ 0","Enter a whole number ≥ 0","Ganze Zahl ≥ 0 eingeben","Saisir un entier ≥ 0","Introduzca un entero ≥ 0","Inserire un numero intero ≥ 0","Zadejte celé číslo ≥ 0","Zadajte celé číslo ≥ 0"),IF(G20=0,"",IF(G20&lt;BASE_PRICES!D19,CHOOSE(DETAILS!$B$2,"Minimum: ","Minimum: ","Mindestmenge: ","Minimum : ","Mínimo: ","Minimo: ","Minimum: ","Minimum: ")&amp;BASE_PRICES!D19,IF(MOD(G20,BASE_PRICES!E19)&lt;&gt;0,CHOOSE(DETAILS!$B$2,"Wielokrotność: ","Order in multiples of: ","Bestellen in Vielfachen von: ","Commander par multiples de : ","Pedir en múltiplos de: ","Ordinare in multipli di: ","Objednávejte násobky: ","Objednávajte násobky: ")&amp;BASE_PRICES!E19,IF(ISNUMBER(H20),CHOOSE(DETAILS!$B$2,"Wyceniono","Priced","Bepreist","Chiffré","Calculado","Prezzo calcolato","Cena vypočtena","Cena vypočítaná"),CHOOSE(DETAILS!$B$2,"Cena na zapytanie","Price on request","Preis auf Anfrage","Prix sur demande","Precio a consultar","Prezzo su richiesta","Cena na dotaz","Cena na vyžiadanie")))))))</f>
        <v/>
      </c>
      <c r="M20" s="2"/>
      <c r="N20" s="2"/>
      <c r="O20" s="2"/>
      <c r="P20" s="2"/>
      <c r="Q20" s="2"/>
    </row>
    <row r="21" spans="1:17" ht="52" customHeight="1">
      <c r="A21" s="4" t="e" vm="16">
        <v>#VALUE!</v>
      </c>
      <c r="B21" s="43" t="str">
        <f>CHOOSE(DETAILS!$B$2,"Cienka świeca z wosku pszczelego","Thin beeswax candle","Dünne Bienenwachskerze","Bougie fine en cire d’abeille","Vela fina de cera de abeja","Candela sottile in cera d’api","Tenká svíčka ze včelího vosku","Tenká sviečka zo včelieho vosku")</f>
        <v>Thin beeswax candle</v>
      </c>
      <c r="C21" s="43" t="str">
        <f>CHOOSE(DETAILS!$B$2,"Zielona","Green","Grün","Verte","Verde","Verde","Zelená","Zelená")</f>
        <v>Green</v>
      </c>
      <c r="D21" s="1" t="s">
        <v>2</v>
      </c>
      <c r="E21" s="47" t="str">
        <f>CHOOSE(DETAILS!$B$2,"szt.","piece","Stück","pièce","unidad","pz.","ks","ks")</f>
        <v>piece</v>
      </c>
      <c r="F21" s="27">
        <f xmlns="http://schemas.openxmlformats.org/spreadsheetml/2006/main">ROUND(BASE_PRICES!B20*(1+DETAILS!$B$30)/DETAILS!$B$26,2)</f>
        <v>1.75</v>
      </c>
      <c r="G21" s="24">
        <v>0</v>
      </c>
      <c r="H21" s="28" t="str">
        <f xmlns="http://schemas.openxmlformats.org/spreadsheetml/2006/main">IF(ISNUMBER(PRICES!V20),ROUND(PRICES!V20*(1+DETAILS!$B$30)/DETAILS!$B$26,4),"")</f>
        <v>0</v>
      </c>
      <c r="I21" s="31" t="str">
        <f>IF(AND(ISNUMBER(PRICES!V20),BASE_PRICES!B20&gt;0),1-PRICES!V20/BASE_PRICES!B20,"")</f>
        <v/>
      </c>
      <c r="J21" s="22" t="str">
        <f t="shared" si="0"/>
        <v/>
      </c>
      <c r="K21" s="7" t="s">
        <v>1</v>
      </c>
      <c r="L21" s="21" t="str">
        <f>IF(NOT(ISNUMBER(G21)),CHOOSE(DETAILS!$B$2,"Wpisz liczbę całkowitą ≥ 0","Enter a whole number ≥ 0","Ganze Zahl ≥ 0 eingeben","Saisir un entier ≥ 0","Introduzca un entero ≥ 0","Inserire un numero intero ≥ 0","Zadejte celé číslo ≥ 0","Zadajte celé číslo ≥ 0"),IF(OR(G21&lt;0,MOD(G21,1)&lt;&gt;0),CHOOSE(DETAILS!$B$2,"Wpisz liczbę całkowitą ≥ 0","Enter a whole number ≥ 0","Ganze Zahl ≥ 0 eingeben","Saisir un entier ≥ 0","Introduzca un entero ≥ 0","Inserire un numero intero ≥ 0","Zadejte celé číslo ≥ 0","Zadajte celé číslo ≥ 0"),IF(G21=0,"",IF(G21&lt;BASE_PRICES!D20,CHOOSE(DETAILS!$B$2,"Minimum: ","Minimum: ","Mindestmenge: ","Minimum : ","Mínimo: ","Minimo: ","Minimum: ","Minimum: ")&amp;BASE_PRICES!D20,IF(MOD(G21,BASE_PRICES!E20)&lt;&gt;0,CHOOSE(DETAILS!$B$2,"Wielokrotność: ","Order in multiples of: ","Bestellen in Vielfachen von: ","Commander par multiples de : ","Pedir en múltiplos de: ","Ordinare in multipli di: ","Objednávejte násobky: ","Objednávajte násobky: ")&amp;BASE_PRICES!E20,IF(ISNUMBER(H21),CHOOSE(DETAILS!$B$2,"Wyceniono","Priced","Bepreist","Chiffré","Calculado","Prezzo calcolato","Cena vypočtena","Cena vypočítaná"),CHOOSE(DETAILS!$B$2,"Cena na zapytanie","Price on request","Preis auf Anfrage","Prix sur demande","Precio a consultar","Prezzo su richiesta","Cena na dotaz","Cena na vyžiadanie")))))))</f>
        <v/>
      </c>
      <c r="M21" s="2"/>
      <c r="N21" s="2"/>
      <c r="O21" s="2"/>
      <c r="P21" s="2"/>
      <c r="Q21" s="2"/>
    </row>
    <row r="22" spans="1:17" ht="52" customHeight="1">
      <c r="A22" s="4" t="e" vm="17">
        <v>#VALUE!</v>
      </c>
      <c r="B22" s="47" t="str">
        <f>CHOOSE(DETAILS!$B$2,"Cienka świeca z wosku pszczelego","Thin beeswax candle","Dünne Bienenwachskerze","Bougie fine en cire d’abeille","Vela fina de cera de abeja","Candela sottile in cera d’api","Tenká svíčka ze včelího vosku","Tenká sviečka zo včelieho vosku")</f>
        <v>Thin beeswax candle</v>
      </c>
      <c r="C22" s="47" t="str">
        <f>CHOOSE(DETAILS!$B$2,"Brązowa","Brown","Braun","Marron","Marrón","Marrone","Hnědá","Hnedá")</f>
        <v>Brown</v>
      </c>
      <c r="D22" s="5" t="s">
        <v>2</v>
      </c>
      <c r="E22" s="47" t="str">
        <f>CHOOSE(DETAILS!$B$2,"szt.","piece","Stück","pièce","unidad","pz.","ks","ks")</f>
        <v>piece</v>
      </c>
      <c r="F22" s="27">
        <f xmlns="http://schemas.openxmlformats.org/spreadsheetml/2006/main">ROUND(BASE_PRICES!B21*(1+DETAILS!$B$30)/DETAILS!$B$26,2)</f>
        <v>1.75</v>
      </c>
      <c r="G22" s="24">
        <v>0</v>
      </c>
      <c r="H22" s="28" t="str">
        <f xmlns="http://schemas.openxmlformats.org/spreadsheetml/2006/main">IF(ISNUMBER(PRICES!V21),ROUND(PRICES!V21*(1+DETAILS!$B$30)/DETAILS!$B$26,4),"")</f>
        <v>0</v>
      </c>
      <c r="I22" s="29" t="str">
        <f>IF(AND(ISNUMBER(PRICES!V21),BASE_PRICES!B21&gt;0),1-PRICES!V21/BASE_PRICES!B21,"")</f>
        <v/>
      </c>
      <c r="J22" s="30" t="str">
        <f t="shared" si="0"/>
        <v/>
      </c>
      <c r="K22" s="6" t="s">
        <v>1</v>
      </c>
      <c r="L22" s="26" t="str">
        <f>IF(NOT(ISNUMBER(G22)),CHOOSE(DETAILS!$B$2,"Wpisz liczbę całkowitą ≥ 0","Enter a whole number ≥ 0","Ganze Zahl ≥ 0 eingeben","Saisir un entier ≥ 0","Introduzca un entero ≥ 0","Inserire un numero intero ≥ 0","Zadejte celé číslo ≥ 0","Zadajte celé číslo ≥ 0"),IF(OR(G22&lt;0,MOD(G22,1)&lt;&gt;0),CHOOSE(DETAILS!$B$2,"Wpisz liczbę całkowitą ≥ 0","Enter a whole number ≥ 0","Ganze Zahl ≥ 0 eingeben","Saisir un entier ≥ 0","Introduzca un entero ≥ 0","Inserire un numero intero ≥ 0","Zadejte celé číslo ≥ 0","Zadajte celé číslo ≥ 0"),IF(G22=0,"",IF(G22&lt;BASE_PRICES!D21,CHOOSE(DETAILS!$B$2,"Minimum: ","Minimum: ","Mindestmenge: ","Minimum : ","Mínimo: ","Minimo: ","Minimum: ","Minimum: ")&amp;BASE_PRICES!D21,IF(MOD(G22,BASE_PRICES!E21)&lt;&gt;0,CHOOSE(DETAILS!$B$2,"Wielokrotność: ","Order in multiples of: ","Bestellen in Vielfachen von: ","Commander par multiples de : ","Pedir en múltiplos de: ","Ordinare in multipli di: ","Objednávejte násobky: ","Objednávajte násobky: ")&amp;BASE_PRICES!E21,IF(ISNUMBER(H22),CHOOSE(DETAILS!$B$2,"Wyceniono","Priced","Bepreist","Chiffré","Calculado","Prezzo calcolato","Cena vypočtena","Cena vypočítaná"),CHOOSE(DETAILS!$B$2,"Cena na zapytanie","Price on request","Preis auf Anfrage","Prix sur demande","Precio a consultar","Prezzo su richiesta","Cena na dotaz","Cena na vyžiadanie")))))))</f>
        <v/>
      </c>
      <c r="M22" s="2"/>
      <c r="N22" s="2"/>
      <c r="O22" s="2"/>
      <c r="P22" s="2"/>
      <c r="Q22" s="2"/>
    </row>
    <row r="23" spans="1:17" ht="52" customHeight="1">
      <c r="A23" s="4" t="e" vm="18">
        <v>#VALUE!</v>
      </c>
      <c r="B23" s="43" t="str">
        <f>CHOOSE(DETAILS!$B$2,"Cienka świeca z wosku pszczelego","Thin beeswax candle","Dünne Bienenwachskerze","Bougie fine en cire d’abeille","Vela fina de cera de abeja","Candela sottile in cera d’api","Tenká svíčka ze včelího vosku","Tenká sviečka zo včelieho vosku")</f>
        <v>Thin beeswax candle</v>
      </c>
      <c r="C23" s="43" t="str">
        <f>CHOOSE(DETAILS!$B$2,"Naturalna","Natural","Natur","Naturelle","Natural","Naturale","Přírodní","Prírodná")</f>
        <v>Natural</v>
      </c>
      <c r="D23" s="1" t="s">
        <v>2</v>
      </c>
      <c r="E23" s="47" t="str">
        <f>CHOOSE(DETAILS!$B$2,"szt.","piece","Stück","pièce","unidad","pz.","ks","ks")</f>
        <v>piece</v>
      </c>
      <c r="F23" s="27">
        <f xmlns="http://schemas.openxmlformats.org/spreadsheetml/2006/main">ROUND(BASE_PRICES!B22*(1+DETAILS!$B$30)/DETAILS!$B$26,2)</f>
        <v>1.75</v>
      </c>
      <c r="G23" s="24">
        <v>0</v>
      </c>
      <c r="H23" s="28" t="str">
        <f xmlns="http://schemas.openxmlformats.org/spreadsheetml/2006/main">IF(ISNUMBER(PRICES!V22),ROUND(PRICES!V22*(1+DETAILS!$B$30)/DETAILS!$B$26,4),"")</f>
        <v>0</v>
      </c>
      <c r="I23" s="31" t="str">
        <f>IF(AND(ISNUMBER(PRICES!V22),BASE_PRICES!B22&gt;0),1-PRICES!V22/BASE_PRICES!B22,"")</f>
        <v/>
      </c>
      <c r="J23" s="22" t="str">
        <f t="shared" si="0"/>
        <v/>
      </c>
      <c r="K23" s="7" t="s">
        <v>1</v>
      </c>
      <c r="L23" s="21" t="str">
        <f>IF(NOT(ISNUMBER(G23)),CHOOSE(DETAILS!$B$2,"Wpisz liczbę całkowitą ≥ 0","Enter a whole number ≥ 0","Ganze Zahl ≥ 0 eingeben","Saisir un entier ≥ 0","Introduzca un entero ≥ 0","Inserire un numero intero ≥ 0","Zadejte celé číslo ≥ 0","Zadajte celé číslo ≥ 0"),IF(OR(G23&lt;0,MOD(G23,1)&lt;&gt;0),CHOOSE(DETAILS!$B$2,"Wpisz liczbę całkowitą ≥ 0","Enter a whole number ≥ 0","Ganze Zahl ≥ 0 eingeben","Saisir un entier ≥ 0","Introduzca un entero ≥ 0","Inserire un numero intero ≥ 0","Zadejte celé číslo ≥ 0","Zadajte celé číslo ≥ 0"),IF(G23=0,"",IF(G23&lt;BASE_PRICES!D22,CHOOSE(DETAILS!$B$2,"Minimum: ","Minimum: ","Mindestmenge: ","Minimum : ","Mínimo: ","Minimo: ","Minimum: ","Minimum: ")&amp;BASE_PRICES!D22,IF(MOD(G23,BASE_PRICES!E22)&lt;&gt;0,CHOOSE(DETAILS!$B$2,"Wielokrotność: ","Order in multiples of: ","Bestellen in Vielfachen von: ","Commander par multiples de : ","Pedir en múltiplos de: ","Ordinare in multipli di: ","Objednávejte násobky: ","Objednávajte násobky: ")&amp;BASE_PRICES!E22,IF(ISNUMBER(H23),CHOOSE(DETAILS!$B$2,"Wyceniono","Priced","Bepreist","Chiffré","Calculado","Prezzo calcolato","Cena vypočtena","Cena vypočítaná"),CHOOSE(DETAILS!$B$2,"Cena na zapytanie","Price on request","Preis auf Anfrage","Prix sur demande","Precio a consultar","Prezzo su richiesta","Cena na dotaz","Cena na vyžiadanie")))))))</f>
        <v/>
      </c>
      <c r="M23" s="2"/>
      <c r="N23" s="2"/>
      <c r="O23" s="2"/>
      <c r="P23" s="2"/>
      <c r="Q23" s="2"/>
    </row>
    <row r="24" spans="1:17" ht="52" customHeight="1">
      <c r="A24" s="4" t="e" vm="19">
        <v>#VALUE!</v>
      </c>
      <c r="B24" s="47" t="str">
        <f>CHOOSE(DETAILS!$B$2,"Cienka świeca z wosku pszczelego","Thin beeswax candle","Dünne Bienenwachskerze","Bougie fine en cire d’abeille","Vela fina de cera de abeja","Candela sottile in cera d’api","Tenká svíčka ze včelího vosku","Tenká sviečka zo včelieho vosku")</f>
        <v>Thin beeswax candle</v>
      </c>
      <c r="C24" s="47" t="str">
        <f>CHOOSE(DETAILS!$B$2,"Pomarańczowa","Orange","Orange","Orange","Naranja","Arancione","Oranžová","Oranžová")</f>
        <v>Orange</v>
      </c>
      <c r="D24" s="5" t="s">
        <v>2</v>
      </c>
      <c r="E24" s="47" t="str">
        <f>CHOOSE(DETAILS!$B$2,"szt.","piece","Stück","pièce","unidad","pz.","ks","ks")</f>
        <v>piece</v>
      </c>
      <c r="F24" s="27">
        <f xmlns="http://schemas.openxmlformats.org/spreadsheetml/2006/main">ROUND(BASE_PRICES!B23*(1+DETAILS!$B$30)/DETAILS!$B$26,2)</f>
        <v>1.75</v>
      </c>
      <c r="G24" s="24">
        <v>0</v>
      </c>
      <c r="H24" s="28" t="str">
        <f xmlns="http://schemas.openxmlformats.org/spreadsheetml/2006/main">IF(ISNUMBER(PRICES!V23),ROUND(PRICES!V23*(1+DETAILS!$B$30)/DETAILS!$B$26,4),"")</f>
        <v>0</v>
      </c>
      <c r="I24" s="29" t="str">
        <f>IF(AND(ISNUMBER(PRICES!V23),BASE_PRICES!B23&gt;0),1-PRICES!V23/BASE_PRICES!B23,"")</f>
        <v/>
      </c>
      <c r="J24" s="30" t="str">
        <f t="shared" si="0"/>
        <v/>
      </c>
      <c r="K24" s="6" t="s">
        <v>1</v>
      </c>
      <c r="L24" s="26" t="str">
        <f>IF(NOT(ISNUMBER(G24)),CHOOSE(DETAILS!$B$2,"Wpisz liczbę całkowitą ≥ 0","Enter a whole number ≥ 0","Ganze Zahl ≥ 0 eingeben","Saisir un entier ≥ 0","Introduzca un entero ≥ 0","Inserire un numero intero ≥ 0","Zadejte celé číslo ≥ 0","Zadajte celé číslo ≥ 0"),IF(OR(G24&lt;0,MOD(G24,1)&lt;&gt;0),CHOOSE(DETAILS!$B$2,"Wpisz liczbę całkowitą ≥ 0","Enter a whole number ≥ 0","Ganze Zahl ≥ 0 eingeben","Saisir un entier ≥ 0","Introduzca un entero ≥ 0","Inserire un numero intero ≥ 0","Zadejte celé číslo ≥ 0","Zadajte celé číslo ≥ 0"),IF(G24=0,"",IF(G24&lt;BASE_PRICES!D23,CHOOSE(DETAILS!$B$2,"Minimum: ","Minimum: ","Mindestmenge: ","Minimum : ","Mínimo: ","Minimo: ","Minimum: ","Minimum: ")&amp;BASE_PRICES!D23,IF(MOD(G24,BASE_PRICES!E23)&lt;&gt;0,CHOOSE(DETAILS!$B$2,"Wielokrotność: ","Order in multiples of: ","Bestellen in Vielfachen von: ","Commander par multiples de : ","Pedir en múltiplos de: ","Ordinare in multipli di: ","Objednávejte násobky: ","Objednávajte násobky: ")&amp;BASE_PRICES!E23,IF(ISNUMBER(H24),CHOOSE(DETAILS!$B$2,"Wyceniono","Priced","Bepreist","Chiffré","Calculado","Prezzo calcolato","Cena vypočtena","Cena vypočítaná"),CHOOSE(DETAILS!$B$2,"Cena na zapytanie","Price on request","Preis auf Anfrage","Prix sur demande","Precio a consultar","Prezzo su richiesta","Cena na dotaz","Cena na vyžiadanie")))))))</f>
        <v/>
      </c>
      <c r="M24" s="2"/>
      <c r="N24" s="2"/>
      <c r="O24" s="2"/>
      <c r="P24" s="2"/>
      <c r="Q24" s="2"/>
    </row>
    <row r="25" spans="1:17" ht="52" customHeight="1">
      <c r="A25" s="4" t="e" vm="20">
        <v>#VALUE!</v>
      </c>
      <c r="B25" s="43" t="str">
        <f>CHOOSE(DETAILS!$B$2,"Cienka świeca z wosku pszczelego","Thin beeswax candle","Dünne Bienenwachskerze","Bougie fine en cire d’abeille","Vela fina de cera de abeja","Candela sottile in cera d’api","Tenká svíčka ze včelího vosku","Tenká sviečka zo včelieho vosku")</f>
        <v>Thin beeswax candle</v>
      </c>
      <c r="C25" s="43" t="str">
        <f>CHOOSE(DETAILS!$B$2,"Różowa","Pink","Rosa","Rose","Rosa","Rosa","Růžová","Ružová")</f>
        <v>Pink</v>
      </c>
      <c r="D25" s="1" t="s">
        <v>2</v>
      </c>
      <c r="E25" s="47" t="str">
        <f>CHOOSE(DETAILS!$B$2,"szt.","piece","Stück","pièce","unidad","pz.","ks","ks")</f>
        <v>piece</v>
      </c>
      <c r="F25" s="27">
        <f xmlns="http://schemas.openxmlformats.org/spreadsheetml/2006/main">ROUND(BASE_PRICES!B24*(1+DETAILS!$B$30)/DETAILS!$B$26,2)</f>
        <v>1.75</v>
      </c>
      <c r="G25" s="24">
        <v>0</v>
      </c>
      <c r="H25" s="28" t="str">
        <f xmlns="http://schemas.openxmlformats.org/spreadsheetml/2006/main">IF(ISNUMBER(PRICES!V24),ROUND(PRICES!V24*(1+DETAILS!$B$30)/DETAILS!$B$26,4),"")</f>
        <v>0</v>
      </c>
      <c r="I25" s="31" t="str">
        <f>IF(AND(ISNUMBER(PRICES!V24),BASE_PRICES!B24&gt;0),1-PRICES!V24/BASE_PRICES!B24,"")</f>
        <v/>
      </c>
      <c r="J25" s="22" t="str">
        <f t="shared" si="0"/>
        <v/>
      </c>
      <c r="K25" s="7" t="s">
        <v>1</v>
      </c>
      <c r="L25" s="21" t="str">
        <f>IF(NOT(ISNUMBER(G25)),CHOOSE(DETAILS!$B$2,"Wpisz liczbę całkowitą ≥ 0","Enter a whole number ≥ 0","Ganze Zahl ≥ 0 eingeben","Saisir un entier ≥ 0","Introduzca un entero ≥ 0","Inserire un numero intero ≥ 0","Zadejte celé číslo ≥ 0","Zadajte celé číslo ≥ 0"),IF(OR(G25&lt;0,MOD(G25,1)&lt;&gt;0),CHOOSE(DETAILS!$B$2,"Wpisz liczbę całkowitą ≥ 0","Enter a whole number ≥ 0","Ganze Zahl ≥ 0 eingeben","Saisir un entier ≥ 0","Introduzca un entero ≥ 0","Inserire un numero intero ≥ 0","Zadejte celé číslo ≥ 0","Zadajte celé číslo ≥ 0"),IF(G25=0,"",IF(G25&lt;BASE_PRICES!D24,CHOOSE(DETAILS!$B$2,"Minimum: ","Minimum: ","Mindestmenge: ","Minimum : ","Mínimo: ","Minimo: ","Minimum: ","Minimum: ")&amp;BASE_PRICES!D24,IF(MOD(G25,BASE_PRICES!E24)&lt;&gt;0,CHOOSE(DETAILS!$B$2,"Wielokrotność: ","Order in multiples of: ","Bestellen in Vielfachen von: ","Commander par multiples de : ","Pedir en múltiplos de: ","Ordinare in multipli di: ","Objednávejte násobky: ","Objednávajte násobky: ")&amp;BASE_PRICES!E24,IF(ISNUMBER(H25),CHOOSE(DETAILS!$B$2,"Wyceniono","Priced","Bepreist","Chiffré","Calculado","Prezzo calcolato","Cena vypočtena","Cena vypočítaná"),CHOOSE(DETAILS!$B$2,"Cena na zapytanie","Price on request","Preis auf Anfrage","Prix sur demande","Precio a consultar","Prezzo su richiesta","Cena na dotaz","Cena na vyžiadanie")))))))</f>
        <v/>
      </c>
      <c r="M25" s="2"/>
      <c r="N25" s="2"/>
      <c r="O25" s="2"/>
      <c r="P25" s="2"/>
      <c r="Q25" s="2"/>
    </row>
    <row r="26" spans="1:17" ht="52" customHeight="1">
      <c r="A26" s="4" t="e" vm="21">
        <v>#VALUE!</v>
      </c>
      <c r="B26" s="47" t="str">
        <f>CHOOSE(DETAILS!$B$2,"Cienka świeca z wosku pszczelego","Thin beeswax candle","Dünne Bienenwachskerze","Bougie fine en cire d’abeille","Vela fina de cera de abeja","Candela sottile in cera d’api","Tenká svíčka ze včelího vosku","Tenká sviečka zo včelieho vosku")</f>
        <v>Thin beeswax candle</v>
      </c>
      <c r="C26" s="47" t="str">
        <f>CHOOSE(DETAILS!$B$2,"Niebieska","Blue","Blau","Bleue","Azul","Blu","Modrá","Modrá")</f>
        <v>Blue</v>
      </c>
      <c r="D26" s="5" t="s">
        <v>2</v>
      </c>
      <c r="E26" s="47" t="str">
        <f>CHOOSE(DETAILS!$B$2,"szt.","piece","Stück","pièce","unidad","pz.","ks","ks")</f>
        <v>piece</v>
      </c>
      <c r="F26" s="27">
        <f xmlns="http://schemas.openxmlformats.org/spreadsheetml/2006/main">ROUND(BASE_PRICES!B25*(1+DETAILS!$B$30)/DETAILS!$B$26,2)</f>
        <v>1.75</v>
      </c>
      <c r="G26" s="24">
        <v>0</v>
      </c>
      <c r="H26" s="28" t="str">
        <f xmlns="http://schemas.openxmlformats.org/spreadsheetml/2006/main">IF(ISNUMBER(PRICES!V25),ROUND(PRICES!V25*(1+DETAILS!$B$30)/DETAILS!$B$26,4),"")</f>
        <v>0</v>
      </c>
      <c r="I26" s="29" t="str">
        <f>IF(AND(ISNUMBER(PRICES!V25),BASE_PRICES!B25&gt;0),1-PRICES!V25/BASE_PRICES!B25,"")</f>
        <v/>
      </c>
      <c r="J26" s="30" t="str">
        <f t="shared" si="0"/>
        <v/>
      </c>
      <c r="K26" s="6" t="s">
        <v>1</v>
      </c>
      <c r="L26" s="26" t="str">
        <f>IF(NOT(ISNUMBER(G26)),CHOOSE(DETAILS!$B$2,"Wpisz liczbę całkowitą ≥ 0","Enter a whole number ≥ 0","Ganze Zahl ≥ 0 eingeben","Saisir un entier ≥ 0","Introduzca un entero ≥ 0","Inserire un numero intero ≥ 0","Zadejte celé číslo ≥ 0","Zadajte celé číslo ≥ 0"),IF(OR(G26&lt;0,MOD(G26,1)&lt;&gt;0),CHOOSE(DETAILS!$B$2,"Wpisz liczbę całkowitą ≥ 0","Enter a whole number ≥ 0","Ganze Zahl ≥ 0 eingeben","Saisir un entier ≥ 0","Introduzca un entero ≥ 0","Inserire un numero intero ≥ 0","Zadejte celé číslo ≥ 0","Zadajte celé číslo ≥ 0"),IF(G26=0,"",IF(G26&lt;BASE_PRICES!D25,CHOOSE(DETAILS!$B$2,"Minimum: ","Minimum: ","Mindestmenge: ","Minimum : ","Mínimo: ","Minimo: ","Minimum: ","Minimum: ")&amp;BASE_PRICES!D25,IF(MOD(G26,BASE_PRICES!E25)&lt;&gt;0,CHOOSE(DETAILS!$B$2,"Wielokrotność: ","Order in multiples of: ","Bestellen in Vielfachen von: ","Commander par multiples de : ","Pedir en múltiplos de: ","Ordinare in multipli di: ","Objednávejte násobky: ","Objednávajte násobky: ")&amp;BASE_PRICES!E25,IF(ISNUMBER(H26),CHOOSE(DETAILS!$B$2,"Wyceniono","Priced","Bepreist","Chiffré","Calculado","Prezzo calcolato","Cena vypočtena","Cena vypočítaná"),CHOOSE(DETAILS!$B$2,"Cena na zapytanie","Price on request","Preis auf Anfrage","Prix sur demande","Precio a consultar","Prezzo su richiesta","Cena na dotaz","Cena na vyžiadanie")))))))</f>
        <v/>
      </c>
      <c r="M26" s="2"/>
      <c r="N26" s="2"/>
      <c r="O26" s="2"/>
      <c r="P26" s="2"/>
      <c r="Q26" s="2"/>
    </row>
    <row r="27" spans="1:17" ht="52" customHeight="1">
      <c r="A27" s="4" t="e" vm="22">
        <v>#VALUE!</v>
      </c>
      <c r="B27" s="43" t="str">
        <f>CHOOSE(DETAILS!$B$2,"Cienka świeca z wosku pszczelego","Thin beeswax candle","Dünne Bienenwachskerze","Bougie fine en cire d’abeille","Vela fina de cera de abeja","Candela sottile in cera d’api","Tenká svíčka ze včelího vosku","Tenká sviečka zo včelieho vosku")</f>
        <v>Thin beeswax candle</v>
      </c>
      <c r="C27" s="43" t="str">
        <f>CHOOSE(DETAILS!$B$2,"Fioletowa","Purple","Violett","Violette","Violeta","Viola","Fialová","Fialová")</f>
        <v>Purple</v>
      </c>
      <c r="D27" s="1" t="s">
        <v>2</v>
      </c>
      <c r="E27" s="47" t="str">
        <f>CHOOSE(DETAILS!$B$2,"szt.","piece","Stück","pièce","unidad","pz.","ks","ks")</f>
        <v>piece</v>
      </c>
      <c r="F27" s="27">
        <f xmlns="http://schemas.openxmlformats.org/spreadsheetml/2006/main">ROUND(BASE_PRICES!B26*(1+DETAILS!$B$30)/DETAILS!$B$26,2)</f>
        <v>1.75</v>
      </c>
      <c r="G27" s="24">
        <v>0</v>
      </c>
      <c r="H27" s="28" t="str">
        <f xmlns="http://schemas.openxmlformats.org/spreadsheetml/2006/main">IF(ISNUMBER(PRICES!V26),ROUND(PRICES!V26*(1+DETAILS!$B$30)/DETAILS!$B$26,4),"")</f>
        <v>0</v>
      </c>
      <c r="I27" s="31" t="str">
        <f>IF(AND(ISNUMBER(PRICES!V26),BASE_PRICES!B26&gt;0),1-PRICES!V26/BASE_PRICES!B26,"")</f>
        <v/>
      </c>
      <c r="J27" s="22" t="str">
        <f t="shared" si="0"/>
        <v/>
      </c>
      <c r="K27" s="7" t="s">
        <v>1</v>
      </c>
      <c r="L27" s="21" t="str">
        <f>IF(NOT(ISNUMBER(G27)),CHOOSE(DETAILS!$B$2,"Wpisz liczbę całkowitą ≥ 0","Enter a whole number ≥ 0","Ganze Zahl ≥ 0 eingeben","Saisir un entier ≥ 0","Introduzca un entero ≥ 0","Inserire un numero intero ≥ 0","Zadejte celé číslo ≥ 0","Zadajte celé číslo ≥ 0"),IF(OR(G27&lt;0,MOD(G27,1)&lt;&gt;0),CHOOSE(DETAILS!$B$2,"Wpisz liczbę całkowitą ≥ 0","Enter a whole number ≥ 0","Ganze Zahl ≥ 0 eingeben","Saisir un entier ≥ 0","Introduzca un entero ≥ 0","Inserire un numero intero ≥ 0","Zadejte celé číslo ≥ 0","Zadajte celé číslo ≥ 0"),IF(G27=0,"",IF(G27&lt;BASE_PRICES!D26,CHOOSE(DETAILS!$B$2,"Minimum: ","Minimum: ","Mindestmenge: ","Minimum : ","Mínimo: ","Minimo: ","Minimum: ","Minimum: ")&amp;BASE_PRICES!D26,IF(MOD(G27,BASE_PRICES!E26)&lt;&gt;0,CHOOSE(DETAILS!$B$2,"Wielokrotność: ","Order in multiples of: ","Bestellen in Vielfachen von: ","Commander par multiples de : ","Pedir en múltiplos de: ","Ordinare in multipli di: ","Objednávejte násobky: ","Objednávajte násobky: ")&amp;BASE_PRICES!E26,IF(ISNUMBER(H27),CHOOSE(DETAILS!$B$2,"Wyceniono","Priced","Bepreist","Chiffré","Calculado","Prezzo calcolato","Cena vypočtena","Cena vypočítaná"),CHOOSE(DETAILS!$B$2,"Cena na zapytanie","Price on request","Preis auf Anfrage","Prix sur demande","Precio a consultar","Prezzo su richiesta","Cena na dotaz","Cena na vyžiadanie")))))))</f>
        <v/>
      </c>
      <c r="M27" s="2"/>
      <c r="N27" s="2"/>
      <c r="O27" s="2"/>
      <c r="P27" s="2"/>
      <c r="Q27" s="2"/>
    </row>
    <row r="28" spans="1:17" ht="52" customHeight="1">
      <c r="A28" s="4" t="e" vm="23">
        <v>#VALUE!</v>
      </c>
      <c r="B28" s="47" t="str">
        <f>CHOOSE(DETAILS!$B$2,"Cienka świeca z wosku pszczelego","Thin beeswax candle","Dünne Bienenwachskerze","Bougie fine en cire d’abeille","Vela fina de cera de abeja","Candela sottile in cera d’api","Tenká svíčka ze včelího vosku","Tenká sviečka zo včelieho vosku")</f>
        <v>Thin beeswax candle</v>
      </c>
      <c r="C28" s="47" t="str">
        <f>CHOOSE(DETAILS!$B$2,"Czerwona","Red","Rot","Rouge","Roja","Rosso","Červená","Červená")</f>
        <v>Red</v>
      </c>
      <c r="D28" s="5" t="s">
        <v>2</v>
      </c>
      <c r="E28" s="47" t="str">
        <f>CHOOSE(DETAILS!$B$2,"szt.","piece","Stück","pièce","unidad","pz.","ks","ks")</f>
        <v>piece</v>
      </c>
      <c r="F28" s="27">
        <f xmlns="http://schemas.openxmlformats.org/spreadsheetml/2006/main">ROUND(BASE_PRICES!B27*(1+DETAILS!$B$30)/DETAILS!$B$26,2)</f>
        <v>1.75</v>
      </c>
      <c r="G28" s="24">
        <v>0</v>
      </c>
      <c r="H28" s="28" t="str">
        <f xmlns="http://schemas.openxmlformats.org/spreadsheetml/2006/main">IF(ISNUMBER(PRICES!V27),ROUND(PRICES!V27*(1+DETAILS!$B$30)/DETAILS!$B$26,4),"")</f>
        <v>0</v>
      </c>
      <c r="I28" s="29" t="str">
        <f>IF(AND(ISNUMBER(PRICES!V27),BASE_PRICES!B27&gt;0),1-PRICES!V27/BASE_PRICES!B27,"")</f>
        <v/>
      </c>
      <c r="J28" s="30" t="str">
        <f t="shared" si="0"/>
        <v/>
      </c>
      <c r="K28" s="6" t="s">
        <v>1</v>
      </c>
      <c r="L28" s="26" t="str">
        <f>IF(NOT(ISNUMBER(G28)),CHOOSE(DETAILS!$B$2,"Wpisz liczbę całkowitą ≥ 0","Enter a whole number ≥ 0","Ganze Zahl ≥ 0 eingeben","Saisir un entier ≥ 0","Introduzca un entero ≥ 0","Inserire un numero intero ≥ 0","Zadejte celé číslo ≥ 0","Zadajte celé číslo ≥ 0"),IF(OR(G28&lt;0,MOD(G28,1)&lt;&gt;0),CHOOSE(DETAILS!$B$2,"Wpisz liczbę całkowitą ≥ 0","Enter a whole number ≥ 0","Ganze Zahl ≥ 0 eingeben","Saisir un entier ≥ 0","Introduzca un entero ≥ 0","Inserire un numero intero ≥ 0","Zadejte celé číslo ≥ 0","Zadajte celé číslo ≥ 0"),IF(G28=0,"",IF(G28&lt;BASE_PRICES!D27,CHOOSE(DETAILS!$B$2,"Minimum: ","Minimum: ","Mindestmenge: ","Minimum : ","Mínimo: ","Minimo: ","Minimum: ","Minimum: ")&amp;BASE_PRICES!D27,IF(MOD(G28,BASE_PRICES!E27)&lt;&gt;0,CHOOSE(DETAILS!$B$2,"Wielokrotność: ","Order in multiples of: ","Bestellen in Vielfachen von: ","Commander par multiples de : ","Pedir en múltiplos de: ","Ordinare in multipli di: ","Objednávejte násobky: ","Objednávajte násobky: ")&amp;BASE_PRICES!E27,IF(ISNUMBER(H28),CHOOSE(DETAILS!$B$2,"Wyceniono","Priced","Bepreist","Chiffré","Calculado","Prezzo calcolato","Cena vypočtena","Cena vypočítaná"),CHOOSE(DETAILS!$B$2,"Cena na zapytanie","Price on request","Preis auf Anfrage","Prix sur demande","Precio a consultar","Prezzo su richiesta","Cena na dotaz","Cena na vyžiadanie")))))))</f>
        <v/>
      </c>
      <c r="M28" s="2"/>
      <c r="N28" s="2"/>
      <c r="O28" s="2"/>
      <c r="P28" s="2"/>
      <c r="Q28" s="2"/>
    </row>
    <row r="29" spans="1:17" ht="52" customHeight="1">
      <c r="A29" s="4" t="e" vm="24">
        <v>#VALUE!</v>
      </c>
      <c r="B29" s="43" t="str">
        <f>CHOOSE(DETAILS!$B$2,"Cienka świeca z wosku pszczelego","Thin beeswax candle","Dünne Bienenwachskerze","Bougie fine en cire d’abeille","Vela fina de cera de abeja","Candela sottile in cera d’api","Tenká svíčka ze včelího vosku","Tenká sviečka zo včelieho vosku")</f>
        <v>Thin beeswax candle</v>
      </c>
      <c r="C29" s="43" t="str">
        <f>CHOOSE(DETAILS!$B$2,"Czarna","Black","Schwarz","Noire","Negra","Nero","Černá","Čierna")</f>
        <v>Black</v>
      </c>
      <c r="D29" s="1" t="s">
        <v>2</v>
      </c>
      <c r="E29" s="47" t="str">
        <f>CHOOSE(DETAILS!$B$2,"szt.","piece","Stück","pièce","unidad","pz.","ks","ks")</f>
        <v>piece</v>
      </c>
      <c r="F29" s="27">
        <f xmlns="http://schemas.openxmlformats.org/spreadsheetml/2006/main">ROUND(BASE_PRICES!B28*(1+DETAILS!$B$30)/DETAILS!$B$26,2)</f>
        <v>1.75</v>
      </c>
      <c r="G29" s="24">
        <v>0</v>
      </c>
      <c r="H29" s="28" t="str">
        <f xmlns="http://schemas.openxmlformats.org/spreadsheetml/2006/main">IF(ISNUMBER(PRICES!V28),ROUND(PRICES!V28*(1+DETAILS!$B$30)/DETAILS!$B$26,4),"")</f>
        <v>0</v>
      </c>
      <c r="I29" s="31" t="str">
        <f>IF(AND(ISNUMBER(PRICES!V28),BASE_PRICES!B28&gt;0),1-PRICES!V28/BASE_PRICES!B28,"")</f>
        <v/>
      </c>
      <c r="J29" s="22" t="str">
        <f t="shared" si="0"/>
        <v/>
      </c>
      <c r="K29" s="7" t="s">
        <v>1</v>
      </c>
      <c r="L29" s="21" t="str">
        <f>IF(NOT(ISNUMBER(G29)),CHOOSE(DETAILS!$B$2,"Wpisz liczbę całkowitą ≥ 0","Enter a whole number ≥ 0","Ganze Zahl ≥ 0 eingeben","Saisir un entier ≥ 0","Introduzca un entero ≥ 0","Inserire un numero intero ≥ 0","Zadejte celé číslo ≥ 0","Zadajte celé číslo ≥ 0"),IF(OR(G29&lt;0,MOD(G29,1)&lt;&gt;0),CHOOSE(DETAILS!$B$2,"Wpisz liczbę całkowitą ≥ 0","Enter a whole number ≥ 0","Ganze Zahl ≥ 0 eingeben","Saisir un entier ≥ 0","Introduzca un entero ≥ 0","Inserire un numero intero ≥ 0","Zadejte celé číslo ≥ 0","Zadajte celé číslo ≥ 0"),IF(G29=0,"",IF(G29&lt;BASE_PRICES!D28,CHOOSE(DETAILS!$B$2,"Minimum: ","Minimum: ","Mindestmenge: ","Minimum : ","Mínimo: ","Minimo: ","Minimum: ","Minimum: ")&amp;BASE_PRICES!D28,IF(MOD(G29,BASE_PRICES!E28)&lt;&gt;0,CHOOSE(DETAILS!$B$2,"Wielokrotność: ","Order in multiples of: ","Bestellen in Vielfachen von: ","Commander par multiples de : ","Pedir en múltiplos de: ","Ordinare in multipli di: ","Objednávejte násobky: ","Objednávajte násobky: ")&amp;BASE_PRICES!E28,IF(ISNUMBER(H29),CHOOSE(DETAILS!$B$2,"Wyceniono","Priced","Bepreist","Chiffré","Calculado","Prezzo calcolato","Cena vypočtena","Cena vypočítaná"),CHOOSE(DETAILS!$B$2,"Cena na zapytanie","Price on request","Preis auf Anfrage","Prix sur demande","Precio a consultar","Prezzo su richiesta","Cena na dotaz","Cena na vyžiadanie")))))))</f>
        <v/>
      </c>
      <c r="M29" s="2"/>
      <c r="N29" s="2"/>
      <c r="O29" s="2"/>
      <c r="P29" s="2"/>
      <c r="Q29" s="2"/>
    </row>
    <row r="30" spans="1:17" ht="52" customHeight="1">
      <c r="A30" s="4" t="e" vm="25">
        <v>#VALUE!</v>
      </c>
      <c r="B30" s="47" t="str">
        <f>CHOOSE(DETAILS!$B$2,"Świeca — sprawy urzędowe i prawne","Candle — administrative and legal matters","Kerze — Behörden- und Rechtsangelegenheiten","Bougie — démarches administratives et juridiques","Vela — asuntos administrativos y legales","Candela — questioni amministrative e legali","Svíčka — úřední a právní záležitosti","Sviečka — úradné a právne záležitosti")</f>
        <v>Candle — administrative and legal matters</v>
      </c>
      <c r="C30" s="43" t="str">
        <f>CHOOSE(DETAILS!$B$2,"Błękitna","Light blue","Hellblau","Bleu clair ","Celeste","Azzurro","Světle modrá","Svetlomodrá")</f>
        <v>Light blue</v>
      </c>
      <c r="D30" s="5" t="s">
        <v>162</v>
      </c>
      <c r="E30" s="47" t="str">
        <f>CHOOSE(DETAILS!$B$2,"szt.","piece","Stück","pièce","unidad","pz.","ks","ks")</f>
        <v>piece</v>
      </c>
      <c r="F30" s="27">
        <f xmlns="http://schemas.openxmlformats.org/spreadsheetml/2006/main">ROUND(BASE_PRICES!B29*(1+DETAILS!$B$30)/DETAILS!$B$26,2)</f>
        <v>36.159999999999997</v>
      </c>
      <c r="G30" s="24">
        <v>0</v>
      </c>
      <c r="H30" s="28" t="str">
        <f xmlns="http://schemas.openxmlformats.org/spreadsheetml/2006/main">IF(ISNUMBER(PRICES!V29),ROUND(PRICES!V29*(1+DETAILS!$B$30)/DETAILS!$B$26,4),"")</f>
        <v>0</v>
      </c>
      <c r="I30" s="29" t="str">
        <f>IF(AND(ISNUMBER(PRICES!V29),BASE_PRICES!B29&gt;0),1-PRICES!V29/BASE_PRICES!B29,"")</f>
        <v/>
      </c>
      <c r="J30" s="30" t="str">
        <f t="shared" si="0"/>
        <v/>
      </c>
      <c r="K30" s="6" t="s">
        <v>1</v>
      </c>
      <c r="L30" s="26" t="str">
        <f>IF(NOT(ISNUMBER(G30)),CHOOSE(DETAILS!$B$2,"Wpisz liczbę całkowitą ≥ 0","Enter a whole number ≥ 0","Ganze Zahl ≥ 0 eingeben","Saisir un entier ≥ 0","Introduzca un entero ≥ 0","Inserire un numero intero ≥ 0","Zadejte celé číslo ≥ 0","Zadajte celé číslo ≥ 0"),IF(OR(G30&lt;0,MOD(G30,1)&lt;&gt;0),CHOOSE(DETAILS!$B$2,"Wpisz liczbę całkowitą ≥ 0","Enter a whole number ≥ 0","Ganze Zahl ≥ 0 eingeben","Saisir un entier ≥ 0","Introduzca un entero ≥ 0","Inserire un numero intero ≥ 0","Zadejte celé číslo ≥ 0","Zadajte celé číslo ≥ 0"),IF(G30=0,"",IF(G30&lt;BASE_PRICES!D29,CHOOSE(DETAILS!$B$2,"Minimum: ","Minimum: ","Mindestmenge: ","Minimum : ","Mínimo: ","Minimo: ","Minimum: ","Minimum: ")&amp;BASE_PRICES!D29,IF(MOD(G30,BASE_PRICES!E29)&lt;&gt;0,CHOOSE(DETAILS!$B$2,"Wielokrotność: ","Order in multiples of: ","Bestellen in Vielfachen von: ","Commander par multiples de : ","Pedir en múltiplos de: ","Ordinare in multipli di: ","Objednávejte násobky: ","Objednávajte násobky: ")&amp;BASE_PRICES!E29,IF(ISNUMBER(H30),CHOOSE(DETAILS!$B$2,"Wyceniono","Priced","Bepreist","Chiffré","Calculado","Prezzo calcolato","Cena vypočtena","Cena vypočítaná"),CHOOSE(DETAILS!$B$2,"Cena na zapytanie","Price on request","Preis auf Anfrage","Prix sur demande","Precio a consultar","Prezzo su richiesta","Cena na dotaz","Cena na vyžiadanie")))))))</f>
        <v/>
      </c>
      <c r="M30" s="2"/>
      <c r="N30" s="2"/>
      <c r="O30" s="2"/>
      <c r="P30" s="2"/>
      <c r="Q30" s="2"/>
    </row>
    <row r="31" spans="1:17" ht="52" customHeight="1">
      <c r="A31" s="4" t="e" vm="26">
        <v>#VALUE!</v>
      </c>
      <c r="B31" s="43" t="str">
        <f>CHOOSE(DETAILS!$B$2,"Świeca — aktywacja amuletów","Candle — amulet activation","Kerze — Amulettaktivierung","Bougie — activation des amulettes","Vela — activación de amuletos","Candela — attivazione degli amuleti","Svíčka — aktivace amuletů","Sviečka — aktivácia amuletov")</f>
        <v>Candle — amulet activation</v>
      </c>
      <c r="C31" s="43" t="str">
        <f>CHOOSE(DETAILS!$B$2,"Naturalny","Natural beeswax","Bienenwachsgelb","Cire naturelle","Cera natural","Colore naturale della cera d’api","Přírodní barva včelího vosku","Prírodná farba včelieho vosku")</f>
        <v>Natural beeswax</v>
      </c>
      <c r="D31" s="1" t="s">
        <v>162</v>
      </c>
      <c r="E31" s="43" t="str">
        <f>CHOOSE(DETAILS!$B$2,"szt.","piece","Stück","pièce","unidad","pz.","ks","ks")</f>
        <v>piece</v>
      </c>
      <c r="F31" s="27">
        <f xmlns="http://schemas.openxmlformats.org/spreadsheetml/2006/main">ROUND(BASE_PRICES!B30*(1+DETAILS!$B$30)/DETAILS!$B$26,2)</f>
        <v>37.15</v>
      </c>
      <c r="G31" s="24">
        <v>0</v>
      </c>
      <c r="H31" s="28" t="str">
        <f xmlns="http://schemas.openxmlformats.org/spreadsheetml/2006/main">IF(ISNUMBER(PRICES!V30),ROUND(PRICES!V30*(1+DETAILS!$B$30)/DETAILS!$B$26,4),"")</f>
        <v>0</v>
      </c>
      <c r="I31" s="31" t="str">
        <f>IF(AND(ISNUMBER(PRICES!V30),BASE_PRICES!B30&gt;0),1-PRICES!V30/BASE_PRICES!B30,"")</f>
        <v/>
      </c>
      <c r="J31" s="22" t="str">
        <f t="shared" si="0"/>
        <v/>
      </c>
      <c r="K31" s="7" t="s">
        <v>1</v>
      </c>
      <c r="L31" s="21" t="str">
        <f>IF(NOT(ISNUMBER(G31)),CHOOSE(DETAILS!$B$2,"Wpisz liczbę całkowitą ≥ 0","Enter a whole number ≥ 0","Ganze Zahl ≥ 0 eingeben","Saisir un entier ≥ 0","Introduzca un entero ≥ 0","Inserire un numero intero ≥ 0","Zadejte celé číslo ≥ 0","Zadajte celé číslo ≥ 0"),IF(OR(G31&lt;0,MOD(G31,1)&lt;&gt;0),CHOOSE(DETAILS!$B$2,"Wpisz liczbę całkowitą ≥ 0","Enter a whole number ≥ 0","Ganze Zahl ≥ 0 eingeben","Saisir un entier ≥ 0","Introduzca un entero ≥ 0","Inserire un numero intero ≥ 0","Zadejte celé číslo ≥ 0","Zadajte celé číslo ≥ 0"),IF(G31=0,"",IF(G31&lt;BASE_PRICES!D30,CHOOSE(DETAILS!$B$2,"Minimum: ","Minimum: ","Mindestmenge: ","Minimum : ","Mínimo: ","Minimo: ","Minimum: ","Minimum: ")&amp;BASE_PRICES!D30,IF(MOD(G31,BASE_PRICES!E30)&lt;&gt;0,CHOOSE(DETAILS!$B$2,"Wielokrotność: ","Order in multiples of: ","Bestellen in Vielfachen von: ","Commander par multiples de : ","Pedir en múltiplos de: ","Ordinare in multipli di: ","Objednávejte násobky: ","Objednávajte násobky: ")&amp;BASE_PRICES!E30,IF(ISNUMBER(H31),CHOOSE(DETAILS!$B$2,"Wyceniono","Priced","Bepreist","Chiffré","Calculado","Prezzo calcolato","Cena vypočtena","Cena vypočítaná"),CHOOSE(DETAILS!$B$2,"Cena na zapytanie","Price on request","Preis auf Anfrage","Prix sur demande","Precio a consultar","Prezzo su richiesta","Cena na dotaz","Cena na vyžiadanie")))))))</f>
        <v/>
      </c>
      <c r="M31" s="2"/>
      <c r="N31" s="2"/>
      <c r="O31" s="2"/>
      <c r="P31" s="2"/>
      <c r="Q31" s="2"/>
    </row>
    <row r="32" spans="1:17" ht="52" customHeight="1">
      <c r="A32" s="4" t="e" vm="27">
        <v>#VALUE!</v>
      </c>
      <c r="B32" s="47" t="str">
        <f>CHOOSE(DETAILS!$B$2,"Świeca — otwarcie dróg","Candle — opening paths","Kerze — Wege öffnen","Bougie — ouverture des chemins","Vela — apertura de caminos","Candela — apertura delle vie","Svíčka — otevírání cest","Sviečka — otváranie ciest")</f>
        <v>Candle — opening paths</v>
      </c>
      <c r="C32" s="47" t="str">
        <f>CHOOSE(DETAILS!$B$2,"Pomarańczowa","Orange","Orange","Orange","Naranja","Arancione","Oranžová","Oranžová")</f>
        <v>Orange</v>
      </c>
      <c r="D32" s="1" t="s">
        <v>162</v>
      </c>
      <c r="E32" s="47" t="str">
        <f>CHOOSE(DETAILS!$B$2,"szt.","piece","Stück","pièce","unidad","pz.","ks","ks")</f>
        <v>piece</v>
      </c>
      <c r="F32" s="27">
        <f xmlns="http://schemas.openxmlformats.org/spreadsheetml/2006/main">ROUND(BASE_PRICES!B31*(1+DETAILS!$B$30)/DETAILS!$B$26,2)</f>
        <v>36.18</v>
      </c>
      <c r="G32" s="24">
        <v>0</v>
      </c>
      <c r="H32" s="28" t="str">
        <f xmlns="http://schemas.openxmlformats.org/spreadsheetml/2006/main">IF(ISNUMBER(PRICES!V31),ROUND(PRICES!V31*(1+DETAILS!$B$30)/DETAILS!$B$26,4),"")</f>
        <v>0</v>
      </c>
      <c r="I32" s="29" t="str">
        <f>IF(AND(ISNUMBER(PRICES!V31),BASE_PRICES!B31&gt;0),1-PRICES!V31/BASE_PRICES!B31,"")</f>
        <v/>
      </c>
      <c r="J32" s="30" t="str">
        <f t="shared" si="0"/>
        <v/>
      </c>
      <c r="K32" s="6" t="s">
        <v>1</v>
      </c>
      <c r="L32" s="26" t="str">
        <f>IF(NOT(ISNUMBER(G32)),CHOOSE(DETAILS!$B$2,"Wpisz liczbę całkowitą ≥ 0","Enter a whole number ≥ 0","Ganze Zahl ≥ 0 eingeben","Saisir un entier ≥ 0","Introduzca un entero ≥ 0","Inserire un numero intero ≥ 0","Zadejte celé číslo ≥ 0","Zadajte celé číslo ≥ 0"),IF(OR(G32&lt;0,MOD(G32,1)&lt;&gt;0),CHOOSE(DETAILS!$B$2,"Wpisz liczbę całkowitą ≥ 0","Enter a whole number ≥ 0","Ganze Zahl ≥ 0 eingeben","Saisir un entier ≥ 0","Introduzca un entero ≥ 0","Inserire un numero intero ≥ 0","Zadejte celé číslo ≥ 0","Zadajte celé číslo ≥ 0"),IF(G32=0,"",IF(G32&lt;BASE_PRICES!D31,CHOOSE(DETAILS!$B$2,"Minimum: ","Minimum: ","Mindestmenge: ","Minimum : ","Mínimo: ","Minimo: ","Minimum: ","Minimum: ")&amp;BASE_PRICES!D31,IF(MOD(G32,BASE_PRICES!E31)&lt;&gt;0,CHOOSE(DETAILS!$B$2,"Wielokrotność: ","Order in multiples of: ","Bestellen in Vielfachen von: ","Commander par multiples de : ","Pedir en múltiplos de: ","Ordinare in multipli di: ","Objednávejte násobky: ","Objednávajte násobky: ")&amp;BASE_PRICES!E31,IF(ISNUMBER(H32),CHOOSE(DETAILS!$B$2,"Wyceniono","Priced","Bepreist","Chiffré","Calculado","Prezzo calcolato","Cena vypočtena","Cena vypočítaná"),CHOOSE(DETAILS!$B$2,"Cena na zapytanie","Price on request","Preis auf Anfrage","Prix sur demande","Precio a consultar","Prezzo su richiesta","Cena na dotaz","Cena na vyžiadanie")))))))</f>
        <v/>
      </c>
      <c r="M32" s="2"/>
      <c r="N32" s="2"/>
      <c r="O32" s="2"/>
      <c r="P32" s="2"/>
      <c r="Q32" s="2"/>
    </row>
    <row r="33" spans="1:17" ht="52" customHeight="1">
      <c r="A33" s="4" t="e" vm="28">
        <v>#VALUE!</v>
      </c>
      <c r="B33" s="43" t="str">
        <f>CHOOSE(DETAILS!$B$2,"Świeca Odnowy","Renewal candle","Erneuerungskerze","Bougie du renouveau","Vela de renovación","Candela del rinnovamento","Svíčka obnovy","Sviečka obnovy")</f>
        <v>Renewal candle</v>
      </c>
      <c r="C33" s="43" t="str">
        <f>CHOOSE(DETAILS!$B$2,"Naturalny","Natural beeswax","Bienenwachsgelb","Cire naturelle","Cera natural","Colore naturale della cera d’api","Přírodní barva včelího vosku","Prírodná farba včelieho vosku")</f>
        <v>Natural beeswax</v>
      </c>
      <c r="D33" s="1"/>
      <c r="E33" s="43" t="str">
        <f>CHOOSE(DETAILS!$B$2,"szt.","piece","Stück","pièce","unidad","pz.","ks","ks")</f>
        <v>piece</v>
      </c>
      <c r="F33" s="27">
        <f xmlns="http://schemas.openxmlformats.org/spreadsheetml/2006/main">ROUND(BASE_PRICES!B32*(1+DETAILS!$B$30)/DETAILS!$B$26,2)</f>
        <v>26.9</v>
      </c>
      <c r="G33" s="24">
        <v>0</v>
      </c>
      <c r="H33" s="28" t="str">
        <f xmlns="http://schemas.openxmlformats.org/spreadsheetml/2006/main">IF(ISNUMBER(PRICES!V32),ROUND(PRICES!V32*(1+DETAILS!$B$30)/DETAILS!$B$26,4),"")</f>
        <v>0</v>
      </c>
      <c r="I33" s="31" t="str">
        <f>IF(AND(ISNUMBER(PRICES!V32),BASE_PRICES!B32&gt;0),1-PRICES!V32/BASE_PRICES!B32,"")</f>
        <v/>
      </c>
      <c r="J33" s="22" t="str">
        <f t="shared" si="0"/>
        <v/>
      </c>
      <c r="K33" s="7" t="s">
        <v>1</v>
      </c>
      <c r="L33" s="21" t="str">
        <f>IF(NOT(ISNUMBER(G33)),CHOOSE(DETAILS!$B$2,"Wpisz liczbę całkowitą ≥ 0","Enter a whole number ≥ 0","Ganze Zahl ≥ 0 eingeben","Saisir un entier ≥ 0","Introduzca un entero ≥ 0","Inserire un numero intero ≥ 0","Zadejte celé číslo ≥ 0","Zadajte celé číslo ≥ 0"),IF(OR(G33&lt;0,MOD(G33,1)&lt;&gt;0),CHOOSE(DETAILS!$B$2,"Wpisz liczbę całkowitą ≥ 0","Enter a whole number ≥ 0","Ganze Zahl ≥ 0 eingeben","Saisir un entier ≥ 0","Introduzca un entero ≥ 0","Inserire un numero intero ≥ 0","Zadejte celé číslo ≥ 0","Zadajte celé číslo ≥ 0"),IF(G33=0,"",IF(G33&lt;BASE_PRICES!D32,CHOOSE(DETAILS!$B$2,"Minimum: ","Minimum: ","Mindestmenge: ","Minimum : ","Mínimo: ","Minimo: ","Minimum: ","Minimum: ")&amp;BASE_PRICES!D32,IF(MOD(G33,BASE_PRICES!E32)&lt;&gt;0,CHOOSE(DETAILS!$B$2,"Wielokrotność: ","Order in multiples of: ","Bestellen in Vielfachen von: ","Commander par multiples de : ","Pedir en múltiplos de: ","Ordinare in multipli di: ","Objednávejte násobky: ","Objednávajte násobky: ")&amp;BASE_PRICES!E32,IF(ISNUMBER(H33),CHOOSE(DETAILS!$B$2,"Wyceniono","Priced","Bepreist","Chiffré","Calculado","Prezzo calcolato","Cena vypočtena","Cena vypočítaná"),CHOOSE(DETAILS!$B$2,"Cena na zapytanie","Price on request","Preis auf Anfrage","Prix sur demande","Precio a consultar","Prezzo su richiesta","Cena na dotaz","Cena na vyžiadanie")))))))</f>
        <v/>
      </c>
      <c r="M33" s="2"/>
      <c r="N33" s="2"/>
      <c r="O33" s="2"/>
      <c r="P33" s="2"/>
      <c r="Q33" s="2"/>
    </row>
    <row r="34" spans="1:17" ht="52" customHeight="1">
      <c r="A34" s="4" t="e" vm="29">
        <v>#VALUE!</v>
      </c>
      <c r="B34" s="47" t="str">
        <f>CHOOSE(DETAILS!$B$2,"Świeca — harmonia domu","Candle — home harmony","Kerze — Harmonie im Zuhause","Bougie — harmonie du foyer","Vela — armonía del hogar","Candela — armonia della casa","Svíčka — harmonie domova","Sviečka — harmónia domova")</f>
        <v>Candle — home harmony</v>
      </c>
      <c r="C34" s="47" t="str">
        <f>CHOOSE(DETAILS!$B$2,"","","","","","","","")</f>
        <v/>
      </c>
      <c r="D34" s="5" t="s">
        <v>162</v>
      </c>
      <c r="E34" s="47" t="str">
        <f>CHOOSE(DETAILS!$B$2,"szt.","piece","Stück","pièce","unidad","pz.","ks","ks")</f>
        <v>piece</v>
      </c>
      <c r="F34" s="27">
        <f xmlns="http://schemas.openxmlformats.org/spreadsheetml/2006/main">ROUND(BASE_PRICES!B33*(1+DETAILS!$B$30)/DETAILS!$B$26,2)</f>
        <v>38.54</v>
      </c>
      <c r="G34" s="24">
        <v>0</v>
      </c>
      <c r="H34" s="28" t="str">
        <f xmlns="http://schemas.openxmlformats.org/spreadsheetml/2006/main">IF(ISNUMBER(PRICES!V33),ROUND(PRICES!V33*(1+DETAILS!$B$30)/DETAILS!$B$26,4),"")</f>
        <v>0</v>
      </c>
      <c r="I34" s="29" t="str">
        <f>IF(AND(ISNUMBER(PRICES!V33),BASE_PRICES!B33&gt;0),1-PRICES!V33/BASE_PRICES!B33,"")</f>
        <v/>
      </c>
      <c r="J34" s="30" t="str">
        <f t="shared" si="0"/>
        <v/>
      </c>
      <c r="K34" s="6" t="s">
        <v>1</v>
      </c>
      <c r="L34" s="26" t="str">
        <f>IF(NOT(ISNUMBER(G34)),CHOOSE(DETAILS!$B$2,"Wpisz liczbę całkowitą ≥ 0","Enter a whole number ≥ 0","Ganze Zahl ≥ 0 eingeben","Saisir un entier ≥ 0","Introduzca un entero ≥ 0","Inserire un numero intero ≥ 0","Zadejte celé číslo ≥ 0","Zadajte celé číslo ≥ 0"),IF(OR(G34&lt;0,MOD(G34,1)&lt;&gt;0),CHOOSE(DETAILS!$B$2,"Wpisz liczbę całkowitą ≥ 0","Enter a whole number ≥ 0","Ganze Zahl ≥ 0 eingeben","Saisir un entier ≥ 0","Introduzca un entero ≥ 0","Inserire un numero intero ≥ 0","Zadejte celé číslo ≥ 0","Zadajte celé číslo ≥ 0"),IF(G34=0,"",IF(G34&lt;BASE_PRICES!D33,CHOOSE(DETAILS!$B$2,"Minimum: ","Minimum: ","Mindestmenge: ","Minimum : ","Mínimo: ","Minimo: ","Minimum: ","Minimum: ")&amp;BASE_PRICES!D33,IF(MOD(G34,BASE_PRICES!E33)&lt;&gt;0,CHOOSE(DETAILS!$B$2,"Wielokrotność: ","Order in multiples of: ","Bestellen in Vielfachen von: ","Commander par multiples de : ","Pedir en múltiplos de: ","Ordinare in multipli di: ","Objednávejte násobky: ","Objednávajte násobky: ")&amp;BASE_PRICES!E33,IF(ISNUMBER(H34),CHOOSE(DETAILS!$B$2,"Wyceniono","Priced","Bepreist","Chiffré","Calculado","Prezzo calcolato","Cena vypočtena","Cena vypočítaná"),CHOOSE(DETAILS!$B$2,"Cena na zapytanie","Price on request","Preis auf Anfrage","Prix sur demande","Precio a consultar","Prezzo su richiesta","Cena na dotaz","Cena na vyžiadanie")))))))</f>
        <v/>
      </c>
      <c r="M34" s="2"/>
      <c r="N34" s="2"/>
      <c r="O34" s="2"/>
      <c r="P34" s="2"/>
      <c r="Q34" s="2"/>
    </row>
    <row r="35" spans="1:17" ht="52" customHeight="1">
      <c r="A35" s="4" t="e" vm="30">
        <v>#VALUE!</v>
      </c>
      <c r="B35" s="43" t="str">
        <f>CHOOSE(DETAILS!$B$2,"Świeca — harmonia relacji","Candle — relationship harmony","Kerze — Beziehungsharmonie","Bougie — harmonie des relations","Vela — armonía en las relaciones","Candela — armonia nelle relazioni","Svíčka — harmonie vztahů","Sviečka — harmónia vzťahov")</f>
        <v>Candle — relationship harmony</v>
      </c>
      <c r="C35" s="43" t="str">
        <f>CHOOSE(DETAILS!$B$2,"Naturalny","Natural beeswax","Bienenwachsgelb","Cire naturelle","Cera natural","Colore naturale della cera d’api","Přírodní barva včelího vosku","Prírodná farba včelieho vosku")</f>
        <v>Natural beeswax</v>
      </c>
      <c r="D35" s="1"/>
      <c r="E35" s="43" t="str">
        <f>CHOOSE(DETAILS!$B$2,"szt.","piece","Stück","pièce","unidad","pz.","ks","ks")</f>
        <v>piece</v>
      </c>
      <c r="F35" s="27">
        <f xmlns="http://schemas.openxmlformats.org/spreadsheetml/2006/main">ROUND(BASE_PRICES!B34*(1+DETAILS!$B$30)/DETAILS!$B$26,2)</f>
        <v>24.92</v>
      </c>
      <c r="G35" s="24">
        <v>0</v>
      </c>
      <c r="H35" s="28" t="str">
        <f xmlns="http://schemas.openxmlformats.org/spreadsheetml/2006/main">IF(ISNUMBER(PRICES!V34),ROUND(PRICES!V34*(1+DETAILS!$B$30)/DETAILS!$B$26,4),"")</f>
        <v>0</v>
      </c>
      <c r="I35" s="31" t="str">
        <f>IF(AND(ISNUMBER(PRICES!V34),BASE_PRICES!B34&gt;0),1-PRICES!V34/BASE_PRICES!B34,"")</f>
        <v/>
      </c>
      <c r="J35" s="22" t="str">
        <f t="shared" si="0"/>
        <v/>
      </c>
      <c r="K35" s="7" t="s">
        <v>1</v>
      </c>
      <c r="L35" s="21" t="str">
        <f>IF(NOT(ISNUMBER(G35)),CHOOSE(DETAILS!$B$2,"Wpisz liczbę całkowitą ≥ 0","Enter a whole number ≥ 0","Ganze Zahl ≥ 0 eingeben","Saisir un entier ≥ 0","Introduzca un entero ≥ 0","Inserire un numero intero ≥ 0","Zadejte celé číslo ≥ 0","Zadajte celé číslo ≥ 0"),IF(OR(G35&lt;0,MOD(G35,1)&lt;&gt;0),CHOOSE(DETAILS!$B$2,"Wpisz liczbę całkowitą ≥ 0","Enter a whole number ≥ 0","Ganze Zahl ≥ 0 eingeben","Saisir un entier ≥ 0","Introduzca un entero ≥ 0","Inserire un numero intero ≥ 0","Zadejte celé číslo ≥ 0","Zadajte celé číslo ≥ 0"),IF(G35=0,"",IF(G35&lt;BASE_PRICES!D34,CHOOSE(DETAILS!$B$2,"Minimum: ","Minimum: ","Mindestmenge: ","Minimum : ","Mínimo: ","Minimo: ","Minimum: ","Minimum: ")&amp;BASE_PRICES!D34,IF(MOD(G35,BASE_PRICES!E34)&lt;&gt;0,CHOOSE(DETAILS!$B$2,"Wielokrotność: ","Order in multiples of: ","Bestellen in Vielfachen von: ","Commander par multiples de : ","Pedir en múltiplos de: ","Ordinare in multipli di: ","Objednávejte násobky: ","Objednávajte násobky: ")&amp;BASE_PRICES!E34,IF(ISNUMBER(H35),CHOOSE(DETAILS!$B$2,"Wyceniono","Priced","Bepreist","Chiffré","Calculado","Prezzo calcolato","Cena vypočtena","Cena vypočítaná"),CHOOSE(DETAILS!$B$2,"Cena na zapytanie","Price on request","Preis auf Anfrage","Prix sur demande","Precio a consultar","Prezzo su richiesta","Cena na dotaz","Cena na vyžiadanie")))))))</f>
        <v/>
      </c>
      <c r="M35" s="2"/>
      <c r="N35" s="2"/>
      <c r="O35" s="2"/>
      <c r="P35" s="2"/>
      <c r="Q35" s="2"/>
    </row>
    <row r="36" spans="1:17" ht="52" customHeight="1">
      <c r="A36" s="4" t="e" vm="31">
        <v>#VALUE!</v>
      </c>
      <c r="B36" s="47" t="str">
        <f>CHOOSE(DETAILS!$B$2,"Świeca Hekate","Hecate candle","Hekate-Kerze","Bougie Hécate","Vela Hécate","Candela di Ecate","Svíčka Hekaté","Sviečka Hekaté")</f>
        <v>Hecate candle</v>
      </c>
      <c r="C36" s="47" t="str">
        <f>CHOOSE(DETAILS!$B$2,"","","","","","","","")</f>
        <v/>
      </c>
      <c r="D36" s="5" t="s">
        <v>13</v>
      </c>
      <c r="E36" s="47" t="str">
        <f>CHOOSE(DETAILS!$B$2,"szt.","piece","Stück","pièce","unidad","pz.","ks","ks")</f>
        <v>piece</v>
      </c>
      <c r="F36" s="27">
        <f xmlns="http://schemas.openxmlformats.org/spreadsheetml/2006/main">ROUND(BASE_PRICES!B35*(1+DETAILS!$B$30)/DETAILS!$B$26,2)</f>
        <v>59.99</v>
      </c>
      <c r="G36" s="24">
        <v>0</v>
      </c>
      <c r="H36" s="28" t="str">
        <f xmlns="http://schemas.openxmlformats.org/spreadsheetml/2006/main">IF(ISNUMBER(PRICES!V35),ROUND(PRICES!V35*(1+DETAILS!$B$30)/DETAILS!$B$26,4),"")</f>
        <v>0</v>
      </c>
      <c r="I36" s="29" t="str">
        <f>IF(AND(ISNUMBER(PRICES!V35),BASE_PRICES!B35&gt;0),1-PRICES!V35/BASE_PRICES!B35,"")</f>
        <v/>
      </c>
      <c r="J36" s="30" t="str">
        <f t="shared" si="0"/>
        <v/>
      </c>
      <c r="K36" s="6" t="s">
        <v>1</v>
      </c>
      <c r="L36" s="26" t="str">
        <f>IF(NOT(ISNUMBER(G36)),CHOOSE(DETAILS!$B$2,"Wpisz liczbę całkowitą ≥ 0","Enter a whole number ≥ 0","Ganze Zahl ≥ 0 eingeben","Saisir un entier ≥ 0","Introduzca un entero ≥ 0","Inserire un numero intero ≥ 0","Zadejte celé číslo ≥ 0","Zadajte celé číslo ≥ 0"),IF(OR(G36&lt;0,MOD(G36,1)&lt;&gt;0),CHOOSE(DETAILS!$B$2,"Wpisz liczbę całkowitą ≥ 0","Enter a whole number ≥ 0","Ganze Zahl ≥ 0 eingeben","Saisir un entier ≥ 0","Introduzca un entero ≥ 0","Inserire un numero intero ≥ 0","Zadejte celé číslo ≥ 0","Zadajte celé číslo ≥ 0"),IF(G36=0,"",IF(G36&lt;BASE_PRICES!D35,CHOOSE(DETAILS!$B$2,"Minimum: ","Minimum: ","Mindestmenge: ","Minimum : ","Mínimo: ","Minimo: ","Minimum: ","Minimum: ")&amp;BASE_PRICES!D35,IF(MOD(G36,BASE_PRICES!E35)&lt;&gt;0,CHOOSE(DETAILS!$B$2,"Wielokrotność: ","Order in multiples of: ","Bestellen in Vielfachen von: ","Commander par multiples de : ","Pedir en múltiplos de: ","Ordinare in multipli di: ","Objednávejte násobky: ","Objednávajte násobky: ")&amp;BASE_PRICES!E35,IF(ISNUMBER(H36),CHOOSE(DETAILS!$B$2,"Wyceniono","Priced","Bepreist","Chiffré","Calculado","Prezzo calcolato","Cena vypočtena","Cena vypočítaná"),CHOOSE(DETAILS!$B$2,"Cena na zapytanie","Price on request","Preis auf Anfrage","Prix sur demande","Precio a consultar","Prezzo su richiesta","Cena na dotaz","Cena na vyžiadanie")))))))</f>
        <v/>
      </c>
      <c r="M36" s="2"/>
      <c r="N36" s="2"/>
      <c r="O36" s="2"/>
      <c r="P36" s="2"/>
      <c r="Q36" s="2"/>
    </row>
    <row r="37" spans="1:17" ht="52" customHeight="1">
      <c r="A37" s="4" t="e" vm="32">
        <v>#VALUE!</v>
      </c>
      <c r="B37" s="43" t="str">
        <f>CHOOSE(DETAILS!$B$2,"Świeca — pieniądze i sukces finansowy","Candle — money and financial success","Kerze — Geld und finanzieller Erfolg","Bougie — argent et réussite financière","Vela — dinero y éxito financiero","Candela — denaro e successo finanziario","Svíčka — peníze a finanční úspěch","Sviečka — peniaze a finančný úspech")</f>
        <v>Candle — money and financial success</v>
      </c>
      <c r="C37" s="43" t="str">
        <f>CHOOSE(DETAILS!$B$2,"Zielona","Green","Grün","Verte","Verde","Verde","Zelená","Zelená")</f>
        <v>Green</v>
      </c>
      <c r="D37" s="1"/>
      <c r="E37" s="43" t="str">
        <f>CHOOSE(DETAILS!$B$2,"szt.","piece","Stück","pièce","unidad","pz.","ks","ks")</f>
        <v>piece</v>
      </c>
      <c r="F37" s="27">
        <f xmlns="http://schemas.openxmlformats.org/spreadsheetml/2006/main">ROUND(BASE_PRICES!B36*(1+DETAILS!$B$30)/DETAILS!$B$26,2)</f>
        <v>35.79</v>
      </c>
      <c r="G37" s="24">
        <v>0</v>
      </c>
      <c r="H37" s="28" t="str">
        <f xmlns="http://schemas.openxmlformats.org/spreadsheetml/2006/main">IF(ISNUMBER(PRICES!V36),ROUND(PRICES!V36*(1+DETAILS!$B$30)/DETAILS!$B$26,4),"")</f>
        <v>0</v>
      </c>
      <c r="I37" s="31" t="str">
        <f>IF(AND(ISNUMBER(PRICES!V36),BASE_PRICES!B36&gt;0),1-PRICES!V36/BASE_PRICES!B36,"")</f>
        <v/>
      </c>
      <c r="J37" s="22" t="str">
        <f t="shared" si="0"/>
        <v/>
      </c>
      <c r="K37" s="7" t="s">
        <v>1</v>
      </c>
      <c r="L37" s="21" t="str">
        <f>IF(NOT(ISNUMBER(G37)),CHOOSE(DETAILS!$B$2,"Wpisz liczbę całkowitą ≥ 0","Enter a whole number ≥ 0","Ganze Zahl ≥ 0 eingeben","Saisir un entier ≥ 0","Introduzca un entero ≥ 0","Inserire un numero intero ≥ 0","Zadejte celé číslo ≥ 0","Zadajte celé číslo ≥ 0"),IF(OR(G37&lt;0,MOD(G37,1)&lt;&gt;0),CHOOSE(DETAILS!$B$2,"Wpisz liczbę całkowitą ≥ 0","Enter a whole number ≥ 0","Ganze Zahl ≥ 0 eingeben","Saisir un entier ≥ 0","Introduzca un entero ≥ 0","Inserire un numero intero ≥ 0","Zadejte celé číslo ≥ 0","Zadajte celé číslo ≥ 0"),IF(G37=0,"",IF(G37&lt;BASE_PRICES!D36,CHOOSE(DETAILS!$B$2,"Minimum: ","Minimum: ","Mindestmenge: ","Minimum : ","Mínimo: ","Minimo: ","Minimum: ","Minimum: ")&amp;BASE_PRICES!D36,IF(MOD(G37,BASE_PRICES!E36)&lt;&gt;0,CHOOSE(DETAILS!$B$2,"Wielokrotność: ","Order in multiples of: ","Bestellen in Vielfachen von: ","Commander par multiples de : ","Pedir en múltiplos de: ","Ordinare in multipli di: ","Objednávejte násobky: ","Objednávajte násobky: ")&amp;BASE_PRICES!E36,IF(ISNUMBER(H37),CHOOSE(DETAILS!$B$2,"Wyceniono","Priced","Bepreist","Chiffré","Calculado","Prezzo calcolato","Cena vypočtena","Cena vypočítaná"),CHOOSE(DETAILS!$B$2,"Cena na zapytanie","Price on request","Preis auf Anfrage","Prix sur demande","Precio a consultar","Prezzo su richiesta","Cena na dotaz","Cena na vyžiadanie")))))))</f>
        <v/>
      </c>
      <c r="M37" s="2"/>
      <c r="N37" s="2"/>
      <c r="O37" s="2"/>
      <c r="P37" s="2"/>
      <c r="Q37" s="2"/>
    </row>
    <row r="38" spans="1:17" ht="52" customHeight="1">
      <c r="A38" s="4" t="e" vm="33">
        <v>#VALUE!</v>
      </c>
      <c r="B38" s="47" t="str">
        <f>CHOOSE(DETAILS!$B$2,"Świeca dla biznesu","Business candle","Geschäftskerze","Bougie pour les affaires","Vela para negocios","Candela per gli affari","Svíčka pro podnikání","Sviečka pre podnikanie")</f>
        <v>Business candle</v>
      </c>
      <c r="C38" s="47" t="str">
        <f>CHOOSE(DETAILS!$B$2,"","","","","","","","")</f>
        <v/>
      </c>
      <c r="D38" s="5"/>
      <c r="E38" s="47" t="str">
        <f>CHOOSE(DETAILS!$B$2,"szt.","piece","Stück","pièce","unidad","pz.","ks","ks")</f>
        <v>piece</v>
      </c>
      <c r="F38" s="27">
        <f xmlns="http://schemas.openxmlformats.org/spreadsheetml/2006/main">ROUND(BASE_PRICES!B37*(1+DETAILS!$B$30)/DETAILS!$B$26,2)</f>
        <v>37.450000000000003</v>
      </c>
      <c r="G38" s="24">
        <v>0</v>
      </c>
      <c r="H38" s="28" t="str">
        <f xmlns="http://schemas.openxmlformats.org/spreadsheetml/2006/main">IF(ISNUMBER(PRICES!V37),ROUND(PRICES!V37*(1+DETAILS!$B$30)/DETAILS!$B$26,4),"")</f>
        <v>0</v>
      </c>
      <c r="I38" s="29" t="str">
        <f>IF(AND(ISNUMBER(PRICES!V37),BASE_PRICES!B37&gt;0),1-PRICES!V37/BASE_PRICES!B37,"")</f>
        <v/>
      </c>
      <c r="J38" s="30" t="str">
        <f t="shared" ref="J38:J58" si="1">IF(ISNUMBER(H38),ROUND(G38*H38,2),"")</f>
        <v/>
      </c>
      <c r="K38" s="6" t="s">
        <v>1</v>
      </c>
      <c r="L38" s="26" t="str">
        <f>IF(NOT(ISNUMBER(G38)),CHOOSE(DETAILS!$B$2,"Wpisz liczbę całkowitą ≥ 0","Enter a whole number ≥ 0","Ganze Zahl ≥ 0 eingeben","Saisir un entier ≥ 0","Introduzca un entero ≥ 0","Inserire un numero intero ≥ 0","Zadejte celé číslo ≥ 0","Zadajte celé číslo ≥ 0"),IF(OR(G38&lt;0,MOD(G38,1)&lt;&gt;0),CHOOSE(DETAILS!$B$2,"Wpisz liczbę całkowitą ≥ 0","Enter a whole number ≥ 0","Ganze Zahl ≥ 0 eingeben","Saisir un entier ≥ 0","Introduzca un entero ≥ 0","Inserire un numero intero ≥ 0","Zadejte celé číslo ≥ 0","Zadajte celé číslo ≥ 0"),IF(G38=0,"",IF(G38&lt;BASE_PRICES!D37,CHOOSE(DETAILS!$B$2,"Minimum: ","Minimum: ","Mindestmenge: ","Minimum : ","Mínimo: ","Minimo: ","Minimum: ","Minimum: ")&amp;BASE_PRICES!D37,IF(MOD(G38,BASE_PRICES!E37)&lt;&gt;0,CHOOSE(DETAILS!$B$2,"Wielokrotność: ","Order in multiples of: ","Bestellen in Vielfachen von: ","Commander par multiples de : ","Pedir en múltiplos de: ","Ordinare in multipli di: ","Objednávejte násobky: ","Objednávajte násobky: ")&amp;BASE_PRICES!E37,IF(ISNUMBER(H38),CHOOSE(DETAILS!$B$2,"Wyceniono","Priced","Bepreist","Chiffré","Calculado","Prezzo calcolato","Cena vypočtena","Cena vypočítaná"),CHOOSE(DETAILS!$B$2,"Cena na zapytanie","Price on request","Preis auf Anfrage","Prix sur demande","Precio a consultar","Prezzo su richiesta","Cena na dotaz","Cena na vyžiadanie")))))))</f>
        <v/>
      </c>
      <c r="M38" s="2"/>
      <c r="N38" s="2"/>
      <c r="O38" s="2"/>
      <c r="P38" s="2"/>
      <c r="Q38" s="2"/>
    </row>
    <row r="39" spans="1:17" ht="52" customHeight="1">
      <c r="A39" s="4" t="e" vm="34">
        <v>#VALUE!</v>
      </c>
      <c r="B39" s="43" t="str">
        <f>CHOOSE(DETAILS!$B$2,"Świeca Dobrobytu","Prosperity candle","Wohlstandskerze","Bougie de prospérité","Vela de prosperidad","Candela della prosperità","Svíčka prosperity","Sviečka prosperity")</f>
        <v>Prosperity candle</v>
      </c>
      <c r="C39" s="43" t="str">
        <f>CHOOSE(DETAILS!$B$2,"Naturalny","Natural beeswax","Bienenwachsgelb","Cire naturelle","Cera natural","Colore naturale della cera d’api","Přírodní barva včelího vosku","Prírodná farba včelieho vosku")</f>
        <v>Natural beeswax</v>
      </c>
      <c r="D39" s="1"/>
      <c r="E39" s="43" t="str">
        <f>CHOOSE(DETAILS!$B$2,"szt.","piece","Stück","pièce","unidad","pz.","ks","ks")</f>
        <v>piece</v>
      </c>
      <c r="F39" s="27">
        <f xmlns="http://schemas.openxmlformats.org/spreadsheetml/2006/main">ROUND(BASE_PRICES!B38*(1+DETAILS!$B$30)/DETAILS!$B$26,2)</f>
        <v>25.2</v>
      </c>
      <c r="G39" s="24">
        <v>0</v>
      </c>
      <c r="H39" s="28" t="str">
        <f xmlns="http://schemas.openxmlformats.org/spreadsheetml/2006/main">IF(ISNUMBER(PRICES!V38),ROUND(PRICES!V38*(1+DETAILS!$B$30)/DETAILS!$B$26,4),"")</f>
        <v>0</v>
      </c>
      <c r="I39" s="31" t="str">
        <f>IF(AND(ISNUMBER(PRICES!V38),BASE_PRICES!B38&gt;0),1-PRICES!V38/BASE_PRICES!B38,"")</f>
        <v/>
      </c>
      <c r="J39" s="22" t="str">
        <f t="shared" si="1"/>
        <v/>
      </c>
      <c r="K39" s="7" t="s">
        <v>1</v>
      </c>
      <c r="L39" s="21" t="str">
        <f>IF(NOT(ISNUMBER(G39)),CHOOSE(DETAILS!$B$2,"Wpisz liczbę całkowitą ≥ 0","Enter a whole number ≥ 0","Ganze Zahl ≥ 0 eingeben","Saisir un entier ≥ 0","Introduzca un entero ≥ 0","Inserire un numero intero ≥ 0","Zadejte celé číslo ≥ 0","Zadajte celé číslo ≥ 0"),IF(OR(G39&lt;0,MOD(G39,1)&lt;&gt;0),CHOOSE(DETAILS!$B$2,"Wpisz liczbę całkowitą ≥ 0","Enter a whole number ≥ 0","Ganze Zahl ≥ 0 eingeben","Saisir un entier ≥ 0","Introduzca un entero ≥ 0","Inserire un numero intero ≥ 0","Zadejte celé číslo ≥ 0","Zadajte celé číslo ≥ 0"),IF(G39=0,"",IF(G39&lt;BASE_PRICES!D38,CHOOSE(DETAILS!$B$2,"Minimum: ","Minimum: ","Mindestmenge: ","Minimum : ","Mínimo: ","Minimo: ","Minimum: ","Minimum: ")&amp;BASE_PRICES!D38,IF(MOD(G39,BASE_PRICES!E38)&lt;&gt;0,CHOOSE(DETAILS!$B$2,"Wielokrotność: ","Order in multiples of: ","Bestellen in Vielfachen von: ","Commander par multiples de : ","Pedir en múltiplos de: ","Ordinare in multipli di: ","Objednávejte násobky: ","Objednávajte násobky: ")&amp;BASE_PRICES!E38,IF(ISNUMBER(H39),CHOOSE(DETAILS!$B$2,"Wyceniono","Priced","Bepreist","Chiffré","Calculado","Prezzo calcolato","Cena vypočtena","Cena vypočítaná"),CHOOSE(DETAILS!$B$2,"Cena na zapytanie","Price on request","Preis auf Anfrage","Prix sur demande","Precio a consultar","Prezzo su richiesta","Cena na dotaz","Cena na vyžiadanie")))))))</f>
        <v/>
      </c>
      <c r="M39" s="2"/>
      <c r="N39" s="2"/>
      <c r="O39" s="2"/>
      <c r="P39" s="2"/>
      <c r="Q39" s="2"/>
    </row>
    <row r="40" spans="1:17" ht="52" customHeight="1">
      <c r="A40" s="4" t="e" vm="35">
        <v>#VALUE!</v>
      </c>
      <c r="B40" s="47" t="str">
        <f>CHOOSE(DETAILS!$B$2,"Świeca ochronna — fioletowa","Protection candle — purple","Schutzkerze — violett","Bougie de protection — violette","Vela de protección — violeta","Candela di protezione — viola","Ochranná svíčka — fialová","Ochranná sviečka — fialová")</f>
        <v>Protection candle — purple</v>
      </c>
      <c r="C40" s="47" t="str">
        <f>CHOOSE(DETAILS!$B$2,"Fioletowa","Purple","Violett","Violette","Violeta","Viola","Fialová","Fialová")</f>
        <v>Purple</v>
      </c>
      <c r="D40" s="5"/>
      <c r="E40" s="47" t="str">
        <f>CHOOSE(DETAILS!$B$2,"szt.","piece","Stück","pièce","unidad","pz.","ks","ks")</f>
        <v>piece</v>
      </c>
      <c r="F40" s="27">
        <f xmlns="http://schemas.openxmlformats.org/spreadsheetml/2006/main">ROUND(BASE_PRICES!B39*(1+DETAILS!$B$30)/DETAILS!$B$26,2)</f>
        <v>36.159999999999997</v>
      </c>
      <c r="G40" s="24">
        <v>0</v>
      </c>
      <c r="H40" s="28" t="str">
        <f xmlns="http://schemas.openxmlformats.org/spreadsheetml/2006/main">IF(ISNUMBER(PRICES!V39),ROUND(PRICES!V39*(1+DETAILS!$B$30)/DETAILS!$B$26,4),"")</f>
        <v>0</v>
      </c>
      <c r="I40" s="29" t="str">
        <f>IF(AND(ISNUMBER(PRICES!V39),BASE_PRICES!B39&gt;0),1-PRICES!V39/BASE_PRICES!B39,"")</f>
        <v/>
      </c>
      <c r="J40" s="30" t="str">
        <f t="shared" si="1"/>
        <v/>
      </c>
      <c r="K40" s="6" t="s">
        <v>1</v>
      </c>
      <c r="L40" s="26" t="str">
        <f>IF(NOT(ISNUMBER(G40)),CHOOSE(DETAILS!$B$2,"Wpisz liczbę całkowitą ≥ 0","Enter a whole number ≥ 0","Ganze Zahl ≥ 0 eingeben","Saisir un entier ≥ 0","Introduzca un entero ≥ 0","Inserire un numero intero ≥ 0","Zadejte celé číslo ≥ 0","Zadajte celé číslo ≥ 0"),IF(OR(G40&lt;0,MOD(G40,1)&lt;&gt;0),CHOOSE(DETAILS!$B$2,"Wpisz liczbę całkowitą ≥ 0","Enter a whole number ≥ 0","Ganze Zahl ≥ 0 eingeben","Saisir un entier ≥ 0","Introduzca un entero ≥ 0","Inserire un numero intero ≥ 0","Zadejte celé číslo ≥ 0","Zadajte celé číslo ≥ 0"),IF(G40=0,"",IF(G40&lt;BASE_PRICES!D39,CHOOSE(DETAILS!$B$2,"Minimum: ","Minimum: ","Mindestmenge: ","Minimum : ","Mínimo: ","Minimo: ","Minimum: ","Minimum: ")&amp;BASE_PRICES!D39,IF(MOD(G40,BASE_PRICES!E39)&lt;&gt;0,CHOOSE(DETAILS!$B$2,"Wielokrotność: ","Order in multiples of: ","Bestellen in Vielfachen von: ","Commander par multiples de : ","Pedir en múltiplos de: ","Ordinare in multipli di: ","Objednávejte násobky: ","Objednávajte násobky: ")&amp;BASE_PRICES!E39,IF(ISNUMBER(H40),CHOOSE(DETAILS!$B$2,"Wyceniono","Priced","Bepreist","Chiffré","Calculado","Prezzo calcolato","Cena vypočtena","Cena vypočítaná"),CHOOSE(DETAILS!$B$2,"Cena na zapytanie","Price on request","Preis auf Anfrage","Prix sur demande","Precio a consultar","Prezzo su richiesta","Cena na dotaz","Cena na vyžiadanie")))))))</f>
        <v/>
      </c>
      <c r="M40" s="2"/>
      <c r="N40" s="2"/>
      <c r="O40" s="2"/>
      <c r="P40" s="2"/>
      <c r="Q40" s="2"/>
    </row>
    <row r="41" spans="1:17" ht="52" customHeight="1">
      <c r="A41" s="4" t="e" vm="36">
        <v>#VALUE!</v>
      </c>
      <c r="B41" s="43" t="str">
        <f>CHOOSE(DETAILS!$B$2,"Świeca — ochrona domu","Candle — home protection","Kerze — Schutz des Zuhauses","Bougie — protection du foyer","Vela — protección del hogar","Candela — protezione della casa","Svíčka — ochrana domova","Sviečka — ochrana domova")</f>
        <v>Candle — home protection</v>
      </c>
      <c r="C41" s="43" t="str">
        <f>CHOOSE(DETAILS!$B$2,"Niebieska","Blue","Blau","Bleue","Azul","Blu","Modrá","Modrá")</f>
        <v>Blue</v>
      </c>
      <c r="D41" s="1"/>
      <c r="E41" s="43" t="str">
        <f>CHOOSE(DETAILS!$B$2,"szt.","piece","Stück","pièce","unidad","pz.","ks","ks")</f>
        <v>piece</v>
      </c>
      <c r="F41" s="27">
        <f xmlns="http://schemas.openxmlformats.org/spreadsheetml/2006/main">ROUND(BASE_PRICES!B40*(1+DETAILS!$B$30)/DETAILS!$B$26,2)</f>
        <v>38.450000000000003</v>
      </c>
      <c r="G41" s="24">
        <v>0</v>
      </c>
      <c r="H41" s="28" t="str">
        <f xmlns="http://schemas.openxmlformats.org/spreadsheetml/2006/main">IF(ISNUMBER(PRICES!V40),ROUND(PRICES!V40*(1+DETAILS!$B$30)/DETAILS!$B$26,4),"")</f>
        <v>0</v>
      </c>
      <c r="I41" s="31" t="str">
        <f>IF(AND(ISNUMBER(PRICES!V40),BASE_PRICES!B40&gt;0),1-PRICES!V40/BASE_PRICES!B40,"")</f>
        <v/>
      </c>
      <c r="J41" s="22" t="str">
        <f t="shared" si="1"/>
        <v/>
      </c>
      <c r="K41" s="7" t="s">
        <v>1</v>
      </c>
      <c r="L41" s="21" t="str">
        <f>IF(NOT(ISNUMBER(G41)),CHOOSE(DETAILS!$B$2,"Wpisz liczbę całkowitą ≥ 0","Enter a whole number ≥ 0","Ganze Zahl ≥ 0 eingeben","Saisir un entier ≥ 0","Introduzca un entero ≥ 0","Inserire un numero intero ≥ 0","Zadejte celé číslo ≥ 0","Zadajte celé číslo ≥ 0"),IF(OR(G41&lt;0,MOD(G41,1)&lt;&gt;0),CHOOSE(DETAILS!$B$2,"Wpisz liczbę całkowitą ≥ 0","Enter a whole number ≥ 0","Ganze Zahl ≥ 0 eingeben","Saisir un entier ≥ 0","Introduzca un entero ≥ 0","Inserire un numero intero ≥ 0","Zadejte celé číslo ≥ 0","Zadajte celé číslo ≥ 0"),IF(G41=0,"",IF(G41&lt;BASE_PRICES!D40,CHOOSE(DETAILS!$B$2,"Minimum: ","Minimum: ","Mindestmenge: ","Minimum : ","Mínimo: ","Minimo: ","Minimum: ","Minimum: ")&amp;BASE_PRICES!D40,IF(MOD(G41,BASE_PRICES!E40)&lt;&gt;0,CHOOSE(DETAILS!$B$2,"Wielokrotność: ","Order in multiples of: ","Bestellen in Vielfachen von: ","Commander par multiples de : ","Pedir en múltiplos de: ","Ordinare in multipli di: ","Objednávejte násobky: ","Objednávajte násobky: ")&amp;BASE_PRICES!E40,IF(ISNUMBER(H41),CHOOSE(DETAILS!$B$2,"Wyceniono","Priced","Bepreist","Chiffré","Calculado","Prezzo calcolato","Cena vypočtena","Cena vypočítaná"),CHOOSE(DETAILS!$B$2,"Cena na zapytanie","Price on request","Preis auf Anfrage","Prix sur demande","Precio a consultar","Prezzo su richiesta","Cena na dotaz","Cena na vyžiadanie")))))))</f>
        <v/>
      </c>
      <c r="M41" s="2"/>
      <c r="N41" s="2"/>
      <c r="O41" s="2"/>
      <c r="P41" s="2"/>
      <c r="Q41" s="2"/>
    </row>
    <row r="42" spans="1:17" ht="52" customHeight="1">
      <c r="A42" s="4" t="e" vm="37">
        <v>#VALUE!</v>
      </c>
      <c r="B42" s="47" t="str">
        <f>CHOOSE(DETAILS!$B$2,"Świeca do rytuałów miłosnych","Love ritual candle","Liebesritualkerze","Bougie pour rituels d’amour","Vela para rituales de amor","Candela per rituali d’amore","Svíčka pro milostné rituály","Sviečka na rituály lásky")</f>
        <v>Love ritual candle</v>
      </c>
      <c r="C42" s="47" t="str">
        <f>CHOOSE(DETAILS!$B$2,"Różowa","Pink","Rosa","Rose","Rosa","Rosa","Růžová","Ružová")</f>
        <v>Pink</v>
      </c>
      <c r="D42" s="5"/>
      <c r="E42" s="47" t="str">
        <f>CHOOSE(DETAILS!$B$2,"szt.","piece","Stück","pièce","unidad","pz.","ks","ks")</f>
        <v>piece</v>
      </c>
      <c r="F42" s="27">
        <f xmlns="http://schemas.openxmlformats.org/spreadsheetml/2006/main">ROUND(BASE_PRICES!B41*(1+DETAILS!$B$30)/DETAILS!$B$26,2)</f>
        <v>39.99</v>
      </c>
      <c r="G42" s="24">
        <v>0</v>
      </c>
      <c r="H42" s="28" t="str">
        <f xmlns="http://schemas.openxmlformats.org/spreadsheetml/2006/main">IF(ISNUMBER(PRICES!V41),ROUND(PRICES!V41*(1+DETAILS!$B$30)/DETAILS!$B$26,4),"")</f>
        <v>0</v>
      </c>
      <c r="I42" s="29" t="str">
        <f>IF(AND(ISNUMBER(PRICES!V41),BASE_PRICES!B41&gt;0),1-PRICES!V41/BASE_PRICES!B41,"")</f>
        <v/>
      </c>
      <c r="J42" s="30" t="str">
        <f t="shared" si="1"/>
        <v/>
      </c>
      <c r="K42" s="6" t="s">
        <v>1</v>
      </c>
      <c r="L42" s="26" t="str">
        <f>IF(NOT(ISNUMBER(G42)),CHOOSE(DETAILS!$B$2,"Wpisz liczbę całkowitą ≥ 0","Enter a whole number ≥ 0","Ganze Zahl ≥ 0 eingeben","Saisir un entier ≥ 0","Introduzca un entero ≥ 0","Inserire un numero intero ≥ 0","Zadejte celé číslo ≥ 0","Zadajte celé číslo ≥ 0"),IF(OR(G42&lt;0,MOD(G42,1)&lt;&gt;0),CHOOSE(DETAILS!$B$2,"Wpisz liczbę całkowitą ≥ 0","Enter a whole number ≥ 0","Ganze Zahl ≥ 0 eingeben","Saisir un entier ≥ 0","Introduzca un entero ≥ 0","Inserire un numero intero ≥ 0","Zadejte celé číslo ≥ 0","Zadajte celé číslo ≥ 0"),IF(G42=0,"",IF(G42&lt;BASE_PRICES!D41,CHOOSE(DETAILS!$B$2,"Minimum: ","Minimum: ","Mindestmenge: ","Minimum : ","Mínimo: ","Minimo: ","Minimum: ","Minimum: ")&amp;BASE_PRICES!D41,IF(MOD(G42,BASE_PRICES!E41)&lt;&gt;0,CHOOSE(DETAILS!$B$2,"Wielokrotność: ","Order in multiples of: ","Bestellen in Vielfachen von: ","Commander par multiples de : ","Pedir en múltiplos de: ","Ordinare in multipli di: ","Objednávejte násobky: ","Objednávajte násobky: ")&amp;BASE_PRICES!E41,IF(ISNUMBER(H42),CHOOSE(DETAILS!$B$2,"Wyceniono","Priced","Bepreist","Chiffré","Calculado","Prezzo calcolato","Cena vypočtena","Cena vypočítaná"),CHOOSE(DETAILS!$B$2,"Cena na zapytanie","Price on request","Preis auf Anfrage","Prix sur demande","Precio a consultar","Prezzo su richiesta","Cena na dotaz","Cena na vyžiadanie")))))))</f>
        <v/>
      </c>
      <c r="M42" s="2"/>
      <c r="N42" s="2"/>
      <c r="O42" s="2"/>
      <c r="P42" s="2"/>
      <c r="Q42" s="2"/>
    </row>
    <row r="43" spans="1:17" ht="52" customHeight="1">
      <c r="A43" s="4" t="e" vm="38">
        <v>#VALUE!</v>
      </c>
      <c r="B43" s="43" t="str">
        <f>CHOOSE(DETAILS!$B$2,"Świeca — medytacja i oczyszczanie aury","Candle — meditation and aura cleansing","Kerze — Meditation und Aurareinigung","Bougie — méditation et purification de l’aura","Vela — meditación y limpieza del aura","Candela — meditazione e purificazione dell’aura","Svíčka — meditace a očista aury","Sviečka — meditácia a očista aury")</f>
        <v>Candle — meditation and aura cleansing</v>
      </c>
      <c r="C43" s="43" t="str">
        <f>CHOOSE(DETAILS!$B$2,"Biała","White","Weiß","Blanche","Blanca","Bianco","Bílá","Biela")</f>
        <v>White</v>
      </c>
      <c r="D43" s="1"/>
      <c r="E43" s="43" t="str">
        <f>CHOOSE(DETAILS!$B$2,"szt.","piece","Stück","pièce","unidad","pz.","ks","ks")</f>
        <v>piece</v>
      </c>
      <c r="F43" s="27">
        <f xmlns="http://schemas.openxmlformats.org/spreadsheetml/2006/main">ROUND(BASE_PRICES!B42*(1+DETAILS!$B$30)/DETAILS!$B$26,2)</f>
        <v>35.99</v>
      </c>
      <c r="G43" s="24">
        <v>0</v>
      </c>
      <c r="H43" s="28" t="str">
        <f xmlns="http://schemas.openxmlformats.org/spreadsheetml/2006/main">IF(ISNUMBER(PRICES!V42),ROUND(PRICES!V42*(1+DETAILS!$B$30)/DETAILS!$B$26,4),"")</f>
        <v>0</v>
      </c>
      <c r="I43" s="31" t="str">
        <f>IF(AND(ISNUMBER(PRICES!V42),BASE_PRICES!B42&gt;0),1-PRICES!V42/BASE_PRICES!B42,"")</f>
        <v/>
      </c>
      <c r="J43" s="22" t="str">
        <f t="shared" si="1"/>
        <v/>
      </c>
      <c r="K43" s="7" t="s">
        <v>1</v>
      </c>
      <c r="L43" s="21" t="str">
        <f>IF(NOT(ISNUMBER(G43)),CHOOSE(DETAILS!$B$2,"Wpisz liczbę całkowitą ≥ 0","Enter a whole number ≥ 0","Ganze Zahl ≥ 0 eingeben","Saisir un entier ≥ 0","Introduzca un entero ≥ 0","Inserire un numero intero ≥ 0","Zadejte celé číslo ≥ 0","Zadajte celé číslo ≥ 0"),IF(OR(G43&lt;0,MOD(G43,1)&lt;&gt;0),CHOOSE(DETAILS!$B$2,"Wpisz liczbę całkowitą ≥ 0","Enter a whole number ≥ 0","Ganze Zahl ≥ 0 eingeben","Saisir un entier ≥ 0","Introduzca un entero ≥ 0","Inserire un numero intero ≥ 0","Zadejte celé číslo ≥ 0","Zadajte celé číslo ≥ 0"),IF(G43=0,"",IF(G43&lt;BASE_PRICES!D42,CHOOSE(DETAILS!$B$2,"Minimum: ","Minimum: ","Mindestmenge: ","Minimum : ","Mínimo: ","Minimo: ","Minimum: ","Minimum: ")&amp;BASE_PRICES!D42,IF(MOD(G43,BASE_PRICES!E42)&lt;&gt;0,CHOOSE(DETAILS!$B$2,"Wielokrotność: ","Order in multiples of: ","Bestellen in Vielfachen von: ","Commander par multiples de : ","Pedir en múltiplos de: ","Ordinare in multipli di: ","Objednávejte násobky: ","Objednávajte násobky: ")&amp;BASE_PRICES!E42,IF(ISNUMBER(H43),CHOOSE(DETAILS!$B$2,"Wyceniono","Priced","Bepreist","Chiffré","Calculado","Prezzo calcolato","Cena vypočtena","Cena vypočítaná"),CHOOSE(DETAILS!$B$2,"Cena na zapytanie","Price on request","Preis auf Anfrage","Prix sur demande","Precio a consultar","Prezzo su richiesta","Cena na dotaz","Cena na vyžiadanie")))))))</f>
        <v/>
      </c>
      <c r="M43" s="2"/>
      <c r="N43" s="2"/>
      <c r="O43" s="2"/>
      <c r="P43" s="2"/>
      <c r="Q43" s="2"/>
    </row>
    <row r="44" spans="1:17" ht="52" customHeight="1">
      <c r="A44" s="4" t="e" vm="39">
        <v>#VALUE!</v>
      </c>
      <c r="B44" s="47" t="str">
        <f>CHOOSE(DETAILS!$B$2,"Świeca — oczyszczanie aury","Aura cleansing candle","Aurareinigungskerze","Bougie de purification de l’aura","Vela de limpieza del aura","Candela per la purificazione dell’aura","Svíčka pro očistu aury","Sviečka na očistu aury")</f>
        <v>Aura cleansing candle</v>
      </c>
      <c r="C44" s="47" t="str">
        <f>CHOOSE(DETAILS!$B$2,"Czarna","Black","Schwarz","Noire","Negra","Nero","Černá","Čierna")</f>
        <v>Black</v>
      </c>
      <c r="D44" s="5"/>
      <c r="E44" s="47" t="str">
        <f>CHOOSE(DETAILS!$B$2,"szt.","piece","Stück","pièce","unidad","pz.","ks","ks")</f>
        <v>piece</v>
      </c>
      <c r="F44" s="27">
        <f xmlns="http://schemas.openxmlformats.org/spreadsheetml/2006/main">ROUND(BASE_PRICES!B43*(1+DETAILS!$B$30)/DETAILS!$B$26,2)</f>
        <v>39.99</v>
      </c>
      <c r="G44" s="24">
        <v>0</v>
      </c>
      <c r="H44" s="28" t="str">
        <f xmlns="http://schemas.openxmlformats.org/spreadsheetml/2006/main">IF(ISNUMBER(PRICES!V43),ROUND(PRICES!V43*(1+DETAILS!$B$30)/DETAILS!$B$26,4),"")</f>
        <v>0</v>
      </c>
      <c r="I44" s="29" t="str">
        <f>IF(AND(ISNUMBER(PRICES!V43),BASE_PRICES!B43&gt;0),1-PRICES!V43/BASE_PRICES!B43,"")</f>
        <v/>
      </c>
      <c r="J44" s="30" t="str">
        <f t="shared" si="1"/>
        <v/>
      </c>
      <c r="K44" s="6" t="s">
        <v>1</v>
      </c>
      <c r="L44" s="26" t="str">
        <f>IF(NOT(ISNUMBER(G44)),CHOOSE(DETAILS!$B$2,"Wpisz liczbę całkowitą ≥ 0","Enter a whole number ≥ 0","Ganze Zahl ≥ 0 eingeben","Saisir un entier ≥ 0","Introduzca un entero ≥ 0","Inserire un numero intero ≥ 0","Zadejte celé číslo ≥ 0","Zadajte celé číslo ≥ 0"),IF(OR(G44&lt;0,MOD(G44,1)&lt;&gt;0),CHOOSE(DETAILS!$B$2,"Wpisz liczbę całkowitą ≥ 0","Enter a whole number ≥ 0","Ganze Zahl ≥ 0 eingeben","Saisir un entier ≥ 0","Introduzca un entero ≥ 0","Inserire un numero intero ≥ 0","Zadejte celé číslo ≥ 0","Zadajte celé číslo ≥ 0"),IF(G44=0,"",IF(G44&lt;BASE_PRICES!D43,CHOOSE(DETAILS!$B$2,"Minimum: ","Minimum: ","Mindestmenge: ","Minimum : ","Mínimo: ","Minimo: ","Minimum: ","Minimum: ")&amp;BASE_PRICES!D43,IF(MOD(G44,BASE_PRICES!E43)&lt;&gt;0,CHOOSE(DETAILS!$B$2,"Wielokrotność: ","Order in multiples of: ","Bestellen in Vielfachen von: ","Commander par multiples de : ","Pedir en múltiplos de: ","Ordinare in multipli di: ","Objednávejte násobky: ","Objednávajte násobky: ")&amp;BASE_PRICES!E43,IF(ISNUMBER(H44),CHOOSE(DETAILS!$B$2,"Wyceniono","Priced","Bepreist","Chiffré","Calculado","Prezzo calcolato","Cena vypočtena","Cena vypočítaná"),CHOOSE(DETAILS!$B$2,"Cena na zapytanie","Price on request","Preis auf Anfrage","Prix sur demande","Precio a consultar","Prezzo su richiesta","Cena na dotaz","Cena na vyžiadanie")))))))</f>
        <v/>
      </c>
      <c r="M44" s="2"/>
      <c r="N44" s="2"/>
      <c r="O44" s="2"/>
      <c r="P44" s="2"/>
      <c r="Q44" s="2"/>
    </row>
    <row r="45" spans="1:17" ht="52" customHeight="1">
      <c r="A45" s="8" t="e" vm="40">
        <v>#VALUE!</v>
      </c>
      <c r="B45" s="43" t="str">
        <f>CHOOSE(DETAILS!$B$2,"Świeca — oczyszczanie domu","Home cleansing candle","Hausreinigungskerze","Bougie de purification du foyer","Vela de limpieza del hogar","Candela per la purificazione della casa","Svíčka pro očistu domova","Sviečka na očistu domova")</f>
        <v>Home cleansing candle</v>
      </c>
      <c r="C45" s="43" t="str">
        <f>CHOOSE(DETAILS!$B$2,"","","","","","","","")</f>
        <v/>
      </c>
      <c r="D45" s="1"/>
      <c r="E45" s="43" t="str">
        <f>CHOOSE(DETAILS!$B$2,"szt.","piece","Stück","pièce","unidad","pz.","ks","ks")</f>
        <v>piece</v>
      </c>
      <c r="F45" s="27">
        <f xmlns="http://schemas.openxmlformats.org/spreadsheetml/2006/main">ROUND(BASE_PRICES!B44*(1+DETAILS!$B$30)/DETAILS!$B$26,2)</f>
        <v>38.340000000000003</v>
      </c>
      <c r="G45" s="24">
        <v>0</v>
      </c>
      <c r="H45" s="28" t="str">
        <f xmlns="http://schemas.openxmlformats.org/spreadsheetml/2006/main">IF(ISNUMBER(PRICES!V44),ROUND(PRICES!V44*(1+DETAILS!$B$30)/DETAILS!$B$26,4),"")</f>
        <v>0</v>
      </c>
      <c r="I45" s="31" t="str">
        <f>IF(AND(ISNUMBER(PRICES!V44),BASE_PRICES!B44&gt;0),1-PRICES!V44/BASE_PRICES!B44,"")</f>
        <v/>
      </c>
      <c r="J45" s="22" t="str">
        <f t="shared" si="1"/>
        <v/>
      </c>
      <c r="K45" s="7" t="s">
        <v>1</v>
      </c>
      <c r="L45" s="21" t="str">
        <f>IF(NOT(ISNUMBER(G45)),CHOOSE(DETAILS!$B$2,"Wpisz liczbę całkowitą ≥ 0","Enter a whole number ≥ 0","Ganze Zahl ≥ 0 eingeben","Saisir un entier ≥ 0","Introduzca un entero ≥ 0","Inserire un numero intero ≥ 0","Zadejte celé číslo ≥ 0","Zadajte celé číslo ≥ 0"),IF(OR(G45&lt;0,MOD(G45,1)&lt;&gt;0),CHOOSE(DETAILS!$B$2,"Wpisz liczbę całkowitą ≥ 0","Enter a whole number ≥ 0","Ganze Zahl ≥ 0 eingeben","Saisir un entier ≥ 0","Introduzca un entero ≥ 0","Inserire un numero intero ≥ 0","Zadejte celé číslo ≥ 0","Zadajte celé číslo ≥ 0"),IF(G45=0,"",IF(G45&lt;BASE_PRICES!D44,CHOOSE(DETAILS!$B$2,"Minimum: ","Minimum: ","Mindestmenge: ","Minimum : ","Mínimo: ","Minimo: ","Minimum: ","Minimum: ")&amp;BASE_PRICES!D44,IF(MOD(G45,BASE_PRICES!E44)&lt;&gt;0,CHOOSE(DETAILS!$B$2,"Wielokrotność: ","Order in multiples of: ","Bestellen in Vielfachen von: ","Commander par multiples de : ","Pedir en múltiplos de: ","Ordinare in multipli di: ","Objednávejte násobky: ","Objednávajte násobky: ")&amp;BASE_PRICES!E44,IF(ISNUMBER(H45),CHOOSE(DETAILS!$B$2,"Wyceniono","Priced","Bepreist","Chiffré","Calculado","Prezzo calcolato","Cena vypočtena","Cena vypočítaná"),CHOOSE(DETAILS!$B$2,"Cena na zapytanie","Price on request","Preis auf Anfrage","Prix sur demande","Precio a consultar","Prezzo su richiesta","Cena na dotaz","Cena na vyžiadanie")))))))</f>
        <v/>
      </c>
      <c r="M45" s="2"/>
      <c r="N45" s="2"/>
      <c r="O45" s="2"/>
      <c r="P45" s="2"/>
      <c r="Q45" s="2"/>
    </row>
    <row r="46" spans="1:17" ht="52" customHeight="1">
      <c r="A46" s="4" t="e" vm="41">
        <v>#VALUE!</v>
      </c>
      <c r="B46" s="47" t="str">
        <f>CHOOSE(DETAILS!$B$2,"Świeca — Pierwotna Energia","Candle — Primal Energy","Kerze — Ursprüngliche Energie","Bougie — Énergie primordiale","Vela — Energía primordial","Candela — Energia primordiale","Svíčka — Prvotní energie","Sviečka — Prvotná energia")</f>
        <v>Candle — Primal Energy</v>
      </c>
      <c r="C46" s="47" t="str">
        <f>CHOOSE(DETAILS!$B$2,"Czerwona","Red","Rot","Rouge","Roja","Rosso","Červená","Červená")</f>
        <v>Red</v>
      </c>
      <c r="D46" s="5"/>
      <c r="E46" s="47" t="str">
        <f>CHOOSE(DETAILS!$B$2,"szt.","piece","Stück","pièce","unidad","pz.","ks","ks")</f>
        <v>piece</v>
      </c>
      <c r="F46" s="27">
        <f xmlns="http://schemas.openxmlformats.org/spreadsheetml/2006/main">ROUND(BASE_PRICES!B45*(1+DETAILS!$B$30)/DETAILS!$B$26,2)</f>
        <v>36.450000000000003</v>
      </c>
      <c r="G46" s="24">
        <v>0</v>
      </c>
      <c r="H46" s="28" t="str">
        <f xmlns="http://schemas.openxmlformats.org/spreadsheetml/2006/main">IF(ISNUMBER(PRICES!V45),ROUND(PRICES!V45*(1+DETAILS!$B$30)/DETAILS!$B$26,4),"")</f>
        <v>0</v>
      </c>
      <c r="I46" s="29" t="str">
        <f>IF(AND(ISNUMBER(PRICES!V45),BASE_PRICES!B45&gt;0),1-PRICES!V45/BASE_PRICES!B45,"")</f>
        <v/>
      </c>
      <c r="J46" s="30" t="str">
        <f t="shared" si="1"/>
        <v/>
      </c>
      <c r="K46" s="6" t="s">
        <v>1</v>
      </c>
      <c r="L46" s="26" t="str">
        <f>IF(NOT(ISNUMBER(G46)),CHOOSE(DETAILS!$B$2,"Wpisz liczbę całkowitą ≥ 0","Enter a whole number ≥ 0","Ganze Zahl ≥ 0 eingeben","Saisir un entier ≥ 0","Introduzca un entero ≥ 0","Inserire un numero intero ≥ 0","Zadejte celé číslo ≥ 0","Zadajte celé číslo ≥ 0"),IF(OR(G46&lt;0,MOD(G46,1)&lt;&gt;0),CHOOSE(DETAILS!$B$2,"Wpisz liczbę całkowitą ≥ 0","Enter a whole number ≥ 0","Ganze Zahl ≥ 0 eingeben","Saisir un entier ≥ 0","Introduzca un entero ≥ 0","Inserire un numero intero ≥ 0","Zadejte celé číslo ≥ 0","Zadajte celé číslo ≥ 0"),IF(G46=0,"",IF(G46&lt;BASE_PRICES!D45,CHOOSE(DETAILS!$B$2,"Minimum: ","Minimum: ","Mindestmenge: ","Minimum : ","Mínimo: ","Minimo: ","Minimum: ","Minimum: ")&amp;BASE_PRICES!D45,IF(MOD(G46,BASE_PRICES!E45)&lt;&gt;0,CHOOSE(DETAILS!$B$2,"Wielokrotność: ","Order in multiples of: ","Bestellen in Vielfachen von: ","Commander par multiples de : ","Pedir en múltiplos de: ","Ordinare in multipli di: ","Objednávejte násobky: ","Objednávajte násobky: ")&amp;BASE_PRICES!E45,IF(ISNUMBER(H46),CHOOSE(DETAILS!$B$2,"Wyceniono","Priced","Bepreist","Chiffré","Calculado","Prezzo calcolato","Cena vypočtena","Cena vypočítaná"),CHOOSE(DETAILS!$B$2,"Cena na zapytanie","Price on request","Preis auf Anfrage","Prix sur demande","Precio a consultar","Prezzo su richiesta","Cena na dotaz","Cena na vyžiadanie")))))))</f>
        <v/>
      </c>
      <c r="M46" s="2"/>
      <c r="N46" s="2"/>
      <c r="O46" s="2"/>
      <c r="P46" s="2"/>
      <c r="Q46" s="2"/>
    </row>
    <row r="47" spans="1:17" ht="52" customHeight="1">
      <c r="A47" s="4" t="e" vm="42">
        <v>#VALUE!</v>
      </c>
      <c r="B47" s="43" t="str">
        <f>CHOOSE(DETAILS!$B$2,"Świeca — Pieczęć Lilith","Candle — Seal of Lilith","Kerze — Siegel der Lilith","Bougie — Sceau de Lilith","Vela — Sello de Lilith","Candela — Sigillo di Lilith","Svíčka — Pečeť Lilith","Sviečka — Pečať Lilith")</f>
        <v>Candle — Seal of Lilith</v>
      </c>
      <c r="C47" s="47" t="str">
        <f>CHOOSE(DETAILS!$B$2,"Czarna","Black","Schwarz","Noire","Negra","Nero","Černá","Čierna")</f>
        <v>Black</v>
      </c>
      <c r="D47" s="1" t="s">
        <v>13</v>
      </c>
      <c r="E47" s="43" t="str">
        <f>CHOOSE(DETAILS!$B$2,"szt.","piece","Stück","pièce","unidad","pz.","ks","ks")</f>
        <v>piece</v>
      </c>
      <c r="F47" s="27">
        <f xmlns="http://schemas.openxmlformats.org/spreadsheetml/2006/main">ROUND(BASE_PRICES!B46*(1+DETAILS!$B$30)/DETAILS!$B$26,2)</f>
        <v>59.99</v>
      </c>
      <c r="G47" s="24">
        <v>0</v>
      </c>
      <c r="H47" s="28" t="str">
        <f xmlns="http://schemas.openxmlformats.org/spreadsheetml/2006/main">IF(ISNUMBER(PRICES!V46),ROUND(PRICES!V46*(1+DETAILS!$B$30)/DETAILS!$B$26,4),"")</f>
        <v>0</v>
      </c>
      <c r="I47" s="31" t="str">
        <f>IF(AND(ISNUMBER(PRICES!V46),BASE_PRICES!B46&gt;0),1-PRICES!V46/BASE_PRICES!B46,"")</f>
        <v/>
      </c>
      <c r="J47" s="22" t="str">
        <f t="shared" si="1"/>
        <v/>
      </c>
      <c r="K47" s="7" t="s">
        <v>1</v>
      </c>
      <c r="L47" s="21" t="str">
        <f>IF(NOT(ISNUMBER(G47)),CHOOSE(DETAILS!$B$2,"Wpisz liczbę całkowitą ≥ 0","Enter a whole number ≥ 0","Ganze Zahl ≥ 0 eingeben","Saisir un entier ≥ 0","Introduzca un entero ≥ 0","Inserire un numero intero ≥ 0","Zadejte celé číslo ≥ 0","Zadajte celé číslo ≥ 0"),IF(OR(G47&lt;0,MOD(G47,1)&lt;&gt;0),CHOOSE(DETAILS!$B$2,"Wpisz liczbę całkowitą ≥ 0","Enter a whole number ≥ 0","Ganze Zahl ≥ 0 eingeben","Saisir un entier ≥ 0","Introduzca un entero ≥ 0","Inserire un numero intero ≥ 0","Zadejte celé číslo ≥ 0","Zadajte celé číslo ≥ 0"),IF(G47=0,"",IF(G47&lt;BASE_PRICES!D46,CHOOSE(DETAILS!$B$2,"Minimum: ","Minimum: ","Mindestmenge: ","Minimum : ","Mínimo: ","Minimo: ","Minimum: ","Minimum: ")&amp;BASE_PRICES!D46,IF(MOD(G47,BASE_PRICES!E46)&lt;&gt;0,CHOOSE(DETAILS!$B$2,"Wielokrotność: ","Order in multiples of: ","Bestellen in Vielfachen von: ","Commander par multiples de : ","Pedir en múltiplos de: ","Ordinare in multipli di: ","Objednávejte násobky: ","Objednávajte násobky: ")&amp;BASE_PRICES!E46,IF(ISNUMBER(H47),CHOOSE(DETAILS!$B$2,"Wyceniono","Priced","Bepreist","Chiffré","Calculado","Prezzo calcolato","Cena vypočtena","Cena vypočítaná"),CHOOSE(DETAILS!$B$2,"Cena na zapytanie","Price on request","Preis auf Anfrage","Prix sur demande","Precio a consultar","Prezzo su richiesta","Cena na dotaz","Cena na vyžiadanie")))))))</f>
        <v/>
      </c>
      <c r="M47" s="2"/>
      <c r="N47" s="2"/>
      <c r="O47" s="2"/>
      <c r="P47" s="2"/>
      <c r="Q47" s="2"/>
    </row>
    <row r="48" spans="1:17" ht="52" customHeight="1">
      <c r="A48" s="4" t="e" vm="43">
        <v>#VALUE!</v>
      </c>
      <c r="B48" s="47" t="str">
        <f>CHOOSE(DETAILS!$B$2,"Świeca — Żywioł Ziemi, Strażniczka Domu","Candle — Earth Element, Guardian of the Home","Kerze — Erdelement, Hüterin des Zuhauses","Bougie — Élément Terre, Gardienne du foyer","Vela — Elemento Tierra, Guardiana del hogar","Candela — Elemento Terra, Guardiana della casa","Svíčka — Živel země, Strážkyně domova","Sviečka — Živel zeme, Strážkyňa domova")</f>
        <v>Candle — Earth Element, Guardian of the Home</v>
      </c>
      <c r="C48" s="47" t="str">
        <f>CHOOSE(DETAILS!$B$2,"","","","","","","","")</f>
        <v/>
      </c>
      <c r="D48" s="5"/>
      <c r="E48" s="47" t="str">
        <f>CHOOSE(DETAILS!$B$2,"szt.","piece","Stück","pièce","unidad","pz.","ks","ks")</f>
        <v>piece</v>
      </c>
      <c r="F48" s="27">
        <f xmlns="http://schemas.openxmlformats.org/spreadsheetml/2006/main">ROUND(BASE_PRICES!B47*(1+DETAILS!$B$30)/DETAILS!$B$26,2)</f>
        <v>36.159999999999997</v>
      </c>
      <c r="G48" s="24">
        <v>0</v>
      </c>
      <c r="H48" s="28" t="str">
        <f xmlns="http://schemas.openxmlformats.org/spreadsheetml/2006/main">IF(ISNUMBER(PRICES!V47),ROUND(PRICES!V47*(1+DETAILS!$B$30)/DETAILS!$B$26,4),"")</f>
        <v>0</v>
      </c>
      <c r="I48" s="29" t="str">
        <f>IF(AND(ISNUMBER(PRICES!V47),BASE_PRICES!B47&gt;0),1-PRICES!V47/BASE_PRICES!B47,"")</f>
        <v/>
      </c>
      <c r="J48" s="30" t="str">
        <f t="shared" si="1"/>
        <v/>
      </c>
      <c r="K48" s="6" t="s">
        <v>1</v>
      </c>
      <c r="L48" s="26" t="str">
        <f>IF(NOT(ISNUMBER(G48)),CHOOSE(DETAILS!$B$2,"Wpisz liczbę całkowitą ≥ 0","Enter a whole number ≥ 0","Ganze Zahl ≥ 0 eingeben","Saisir un entier ≥ 0","Introduzca un entero ≥ 0","Inserire un numero intero ≥ 0","Zadejte celé číslo ≥ 0","Zadajte celé číslo ≥ 0"),IF(OR(G48&lt;0,MOD(G48,1)&lt;&gt;0),CHOOSE(DETAILS!$B$2,"Wpisz liczbę całkowitą ≥ 0","Enter a whole number ≥ 0","Ganze Zahl ≥ 0 eingeben","Saisir un entier ≥ 0","Introduzca un entero ≥ 0","Inserire un numero intero ≥ 0","Zadejte celé číslo ≥ 0","Zadajte celé číslo ≥ 0"),IF(G48=0,"",IF(G48&lt;BASE_PRICES!D47,CHOOSE(DETAILS!$B$2,"Minimum: ","Minimum: ","Mindestmenge: ","Minimum : ","Mínimo: ","Minimo: ","Minimum: ","Minimum: ")&amp;BASE_PRICES!D47,IF(MOD(G48,BASE_PRICES!E47)&lt;&gt;0,CHOOSE(DETAILS!$B$2,"Wielokrotność: ","Order in multiples of: ","Bestellen in Vielfachen von: ","Commander par multiples de : ","Pedir en múltiplos de: ","Ordinare in multipli di: ","Objednávejte násobky: ","Objednávajte násobky: ")&amp;BASE_PRICES!E47,IF(ISNUMBER(H48),CHOOSE(DETAILS!$B$2,"Wyceniono","Priced","Bepreist","Chiffré","Calculado","Prezzo calcolato","Cena vypočtena","Cena vypočítaná"),CHOOSE(DETAILS!$B$2,"Cena na zapytanie","Price on request","Preis auf Anfrage","Prix sur demande","Precio a consultar","Prezzo su richiesta","Cena na dotaz","Cena na vyžiadanie")))))))</f>
        <v/>
      </c>
      <c r="M48" s="2"/>
      <c r="N48" s="2"/>
      <c r="O48" s="2"/>
      <c r="P48" s="2"/>
      <c r="Q48" s="2"/>
    </row>
    <row r="49" spans="1:17" ht="52" customHeight="1">
      <c r="A49" s="4" t="e" vm="44">
        <v>#VALUE!</v>
      </c>
      <c r="B49" s="43" t="str">
        <f>CHOOSE(DETAILS!$B$2,"Świeca — Trzecie Oko, Ajna","Candle — Third Eye, Ajna","Kerze — Drittes Auge, Ajna","Bougie — Troisième Œil, Ajna","Vela — Tercer Ojo, Ajna","Candela — Terzo occhio, Ajna","Svíčka — Třetí oko, Ádžňá","Sviečka — Tretie oko, Ádžňá")</f>
        <v>Candle — Third Eye, Ajna</v>
      </c>
      <c r="C49" s="43" t="str">
        <f>CHOOSE(DETAILS!$B$2,"Niebieska","Blue","Blau","Bleue","Azul","Blu","Modrá","Modrá")</f>
        <v>Blue</v>
      </c>
      <c r="D49" s="1"/>
      <c r="E49" s="43" t="str">
        <f>CHOOSE(DETAILS!$B$2,"szt.","piece","Stück","pièce","unidad","pz.","ks","ks")</f>
        <v>piece</v>
      </c>
      <c r="F49" s="27">
        <f xmlns="http://schemas.openxmlformats.org/spreadsheetml/2006/main">ROUND(BASE_PRICES!B48*(1+DETAILS!$B$30)/DETAILS!$B$26,2)</f>
        <v>37.56</v>
      </c>
      <c r="G49" s="24">
        <v>0</v>
      </c>
      <c r="H49" s="28" t="str">
        <f xmlns="http://schemas.openxmlformats.org/spreadsheetml/2006/main">IF(ISNUMBER(PRICES!V48),ROUND(PRICES!V48*(1+DETAILS!$B$30)/DETAILS!$B$26,4),"")</f>
        <v>0</v>
      </c>
      <c r="I49" s="31" t="str">
        <f>IF(AND(ISNUMBER(PRICES!V48),BASE_PRICES!B48&gt;0),1-PRICES!V48/BASE_PRICES!B48,"")</f>
        <v/>
      </c>
      <c r="J49" s="22" t="str">
        <f t="shared" si="1"/>
        <v/>
      </c>
      <c r="K49" s="7" t="s">
        <v>1</v>
      </c>
      <c r="L49" s="21" t="str">
        <f>IF(NOT(ISNUMBER(G49)),CHOOSE(DETAILS!$B$2,"Wpisz liczbę całkowitą ≥ 0","Enter a whole number ≥ 0","Ganze Zahl ≥ 0 eingeben","Saisir un entier ≥ 0","Introduzca un entero ≥ 0","Inserire un numero intero ≥ 0","Zadejte celé číslo ≥ 0","Zadajte celé číslo ≥ 0"),IF(OR(G49&lt;0,MOD(G49,1)&lt;&gt;0),CHOOSE(DETAILS!$B$2,"Wpisz liczbę całkowitą ≥ 0","Enter a whole number ≥ 0","Ganze Zahl ≥ 0 eingeben","Saisir un entier ≥ 0","Introduzca un entero ≥ 0","Inserire un numero intero ≥ 0","Zadejte celé číslo ≥ 0","Zadajte celé číslo ≥ 0"),IF(G49=0,"",IF(G49&lt;BASE_PRICES!D48,CHOOSE(DETAILS!$B$2,"Minimum: ","Minimum: ","Mindestmenge: ","Minimum : ","Mínimo: ","Minimo: ","Minimum: ","Minimum: ")&amp;BASE_PRICES!D48,IF(MOD(G49,BASE_PRICES!E48)&lt;&gt;0,CHOOSE(DETAILS!$B$2,"Wielokrotność: ","Order in multiples of: ","Bestellen in Vielfachen von: ","Commander par multiples de : ","Pedir en múltiplos de: ","Ordinare in multipli di: ","Objednávejte násobky: ","Objednávajte násobky: ")&amp;BASE_PRICES!E48,IF(ISNUMBER(H49),CHOOSE(DETAILS!$B$2,"Wyceniono","Priced","Bepreist","Chiffré","Calculado","Prezzo calcolato","Cena vypočtena","Cena vypočítaná"),CHOOSE(DETAILS!$B$2,"Cena na zapytanie","Price on request","Preis auf Anfrage","Prix sur demande","Precio a consultar","Prezzo su richiesta","Cena na dotaz","Cena na vyžiadanie")))))))</f>
        <v/>
      </c>
      <c r="M49" s="2"/>
      <c r="N49" s="2"/>
      <c r="O49" s="2"/>
      <c r="P49" s="2"/>
      <c r="Q49" s="2"/>
    </row>
    <row r="50" spans="1:17" ht="52" customHeight="1">
      <c r="A50" s="4" t="e" vm="45">
        <v>#VALUE!</v>
      </c>
      <c r="B50" s="47" t="str">
        <f>CHOOSE(DETAILS!$B$2,"Świeca runiczna Ansuz","Ansuz rune candle","Ansuz-Runenkerze","Bougie runique Ansuz","Vela rúnica Ansuz","Candela runica Ansuz","Runová svíčka Ansuz","Runová sviečka Ansuz")</f>
        <v>Ansuz rune candle</v>
      </c>
      <c r="C50" s="47" t="str">
        <f>CHOOSE(DETAILS!$B$2,"Naturalna żółta","Natural yellow","Naturgelb","Jaune naturel","Amarillo natural","Giallo naturale","Přírodní žlutá","Prírodná žltá")</f>
        <v>Natural yellow</v>
      </c>
      <c r="D50" s="5" t="s">
        <v>3</v>
      </c>
      <c r="E50" s="47" t="str">
        <f>CHOOSE(DETAILS!$B$2,"szt.","piece","Stück","pièce","unidad","pz.","ks","ks")</f>
        <v>piece</v>
      </c>
      <c r="F50" s="27">
        <f xmlns="http://schemas.openxmlformats.org/spreadsheetml/2006/main">ROUND(BASE_PRICES!B49*(1+DETAILS!$B$30)/DETAILS!$B$26,2)</f>
        <v>19.600000000000001</v>
      </c>
      <c r="G50" s="24">
        <v>0</v>
      </c>
      <c r="H50" s="28" t="str">
        <f xmlns="http://schemas.openxmlformats.org/spreadsheetml/2006/main">IF(ISNUMBER(PRICES!V49),ROUND(PRICES!V49*(1+DETAILS!$B$30)/DETAILS!$B$26,4),"")</f>
        <v>0</v>
      </c>
      <c r="I50" s="29" t="str">
        <f>IF(AND(ISNUMBER(PRICES!V49),BASE_PRICES!B49&gt;0),1-PRICES!V49/BASE_PRICES!B49,"")</f>
        <v/>
      </c>
      <c r="J50" s="30" t="str">
        <f t="shared" si="1"/>
        <v/>
      </c>
      <c r="K50" s="6" t="s">
        <v>1</v>
      </c>
      <c r="L50" s="26" t="str">
        <f>IF(NOT(ISNUMBER(G50)),CHOOSE(DETAILS!$B$2,"Wpisz liczbę całkowitą ≥ 0","Enter a whole number ≥ 0","Ganze Zahl ≥ 0 eingeben","Saisir un entier ≥ 0","Introduzca un entero ≥ 0","Inserire un numero intero ≥ 0","Zadejte celé číslo ≥ 0","Zadajte celé číslo ≥ 0"),IF(OR(G50&lt;0,MOD(G50,1)&lt;&gt;0),CHOOSE(DETAILS!$B$2,"Wpisz liczbę całkowitą ≥ 0","Enter a whole number ≥ 0","Ganze Zahl ≥ 0 eingeben","Saisir un entier ≥ 0","Introduzca un entero ≥ 0","Inserire un numero intero ≥ 0","Zadejte celé číslo ≥ 0","Zadajte celé číslo ≥ 0"),IF(G50=0,"",IF(G50&lt;BASE_PRICES!D49,CHOOSE(DETAILS!$B$2,"Minimum: ","Minimum: ","Mindestmenge: ","Minimum : ","Mínimo: ","Minimo: ","Minimum: ","Minimum: ")&amp;BASE_PRICES!D49,IF(MOD(G50,BASE_PRICES!E49)&lt;&gt;0,CHOOSE(DETAILS!$B$2,"Wielokrotność: ","Order in multiples of: ","Bestellen in Vielfachen von: ","Commander par multiples de : ","Pedir en múltiplos de: ","Ordinare in multipli di: ","Objednávejte násobky: ","Objednávajte násobky: ")&amp;BASE_PRICES!E49,IF(ISNUMBER(H50),CHOOSE(DETAILS!$B$2,"Wyceniono","Priced","Bepreist","Chiffré","Calculado","Prezzo calcolato","Cena vypočtena","Cena vypočítaná"),CHOOSE(DETAILS!$B$2,"Cena na zapytanie","Price on request","Preis auf Anfrage","Prix sur demande","Precio a consultar","Prezzo su richiesta","Cena na dotaz","Cena na vyžiadanie")))))))</f>
        <v/>
      </c>
      <c r="M50" s="2"/>
      <c r="N50" s="2"/>
      <c r="O50" s="2"/>
      <c r="P50" s="2"/>
      <c r="Q50" s="2"/>
    </row>
    <row r="51" spans="1:17" ht="52" customHeight="1">
      <c r="A51" s="4" t="e" vm="46">
        <v>#VALUE!</v>
      </c>
      <c r="B51" s="43" t="str">
        <f>CHOOSE(DETAILS!$B$2,"Świeca runiczna Berkano","Berkano rune candle","Berkano-Runenkerze","Bougie runique Berkano","Vela rúnica Berkano","Candela runica Berkano","Runová svíčka Berkano","Runová sviečka Berkano")</f>
        <v>Berkano rune candle</v>
      </c>
      <c r="C51" s="43" t="str">
        <f>CHOOSE(DETAILS!$B$2,"Naturalna żółta","Natural yellow","Naturgelb","Jaune naturel","Amarillo natural","Giallo naturale","Přírodní žlutá","Prírodná žltá")</f>
        <v>Natural yellow</v>
      </c>
      <c r="D51" s="1" t="s">
        <v>3</v>
      </c>
      <c r="E51" s="43" t="str">
        <f>CHOOSE(DETAILS!$B$2,"szt.","piece","Stück","pièce","unidad","pz.","ks","ks")</f>
        <v>piece</v>
      </c>
      <c r="F51" s="27">
        <f xmlns="http://schemas.openxmlformats.org/spreadsheetml/2006/main">ROUND(BASE_PRICES!B50*(1+DETAILS!$B$30)/DETAILS!$B$26,2)</f>
        <v>19.600000000000001</v>
      </c>
      <c r="G51" s="24">
        <v>0</v>
      </c>
      <c r="H51" s="28" t="str">
        <f xmlns="http://schemas.openxmlformats.org/spreadsheetml/2006/main">IF(ISNUMBER(PRICES!V50),ROUND(PRICES!V50*(1+DETAILS!$B$30)/DETAILS!$B$26,4),"")</f>
        <v>0</v>
      </c>
      <c r="I51" s="31" t="str">
        <f>IF(AND(ISNUMBER(PRICES!V50),BASE_PRICES!B50&gt;0),1-PRICES!V50/BASE_PRICES!B50,"")</f>
        <v/>
      </c>
      <c r="J51" s="22" t="str">
        <f t="shared" si="1"/>
        <v/>
      </c>
      <c r="K51" s="7" t="s">
        <v>1</v>
      </c>
      <c r="L51" s="21" t="str">
        <f>IF(NOT(ISNUMBER(G51)),CHOOSE(DETAILS!$B$2,"Wpisz liczbę całkowitą ≥ 0","Enter a whole number ≥ 0","Ganze Zahl ≥ 0 eingeben","Saisir un entier ≥ 0","Introduzca un entero ≥ 0","Inserire un numero intero ≥ 0","Zadejte celé číslo ≥ 0","Zadajte celé číslo ≥ 0"),IF(OR(G51&lt;0,MOD(G51,1)&lt;&gt;0),CHOOSE(DETAILS!$B$2,"Wpisz liczbę całkowitą ≥ 0","Enter a whole number ≥ 0","Ganze Zahl ≥ 0 eingeben","Saisir un entier ≥ 0","Introduzca un entero ≥ 0","Inserire un numero intero ≥ 0","Zadejte celé číslo ≥ 0","Zadajte celé číslo ≥ 0"),IF(G51=0,"",IF(G51&lt;BASE_PRICES!D50,CHOOSE(DETAILS!$B$2,"Minimum: ","Minimum: ","Mindestmenge: ","Minimum : ","Mínimo: ","Minimo: ","Minimum: ","Minimum: ")&amp;BASE_PRICES!D50,IF(MOD(G51,BASE_PRICES!E50)&lt;&gt;0,CHOOSE(DETAILS!$B$2,"Wielokrotność: ","Order in multiples of: ","Bestellen in Vielfachen von: ","Commander par multiples de : ","Pedir en múltiplos de: ","Ordinare in multipli di: ","Objednávejte násobky: ","Objednávajte násobky: ")&amp;BASE_PRICES!E50,IF(ISNUMBER(H51),CHOOSE(DETAILS!$B$2,"Wyceniono","Priced","Bepreist","Chiffré","Calculado","Prezzo calcolato","Cena vypočtena","Cena vypočítaná"),CHOOSE(DETAILS!$B$2,"Cena na zapytanie","Price on request","Preis auf Anfrage","Prix sur demande","Precio a consultar","Prezzo su richiesta","Cena na dotaz","Cena na vyžiadanie")))))))</f>
        <v/>
      </c>
      <c r="M51" s="2"/>
      <c r="N51" s="2"/>
      <c r="O51" s="2"/>
      <c r="P51" s="2"/>
      <c r="Q51" s="2"/>
    </row>
    <row r="52" spans="1:17" ht="52" customHeight="1">
      <c r="A52" s="4" t="e" vm="47">
        <v>#VALUE!</v>
      </c>
      <c r="B52" s="47" t="str">
        <f>CHOOSE(DETAILS!$B$2,"Świeca runiczna Fehu","Fehu rune candle","Fehu-Runenkerze","Bougie runique Fehu","Vela rúnica Fehu","Candela runica Fehu","Runová svíčka Fehu","Runová sviečka Fehu")</f>
        <v>Fehu rune candle</v>
      </c>
      <c r="C52" s="47" t="str">
        <f>CHOOSE(DETAILS!$B$2,"Naturalna żółta","Natural yellow","Naturgelb","Jaune naturel","Amarillo natural","Giallo naturale","Přírodní žlutá","Prírodná žltá")</f>
        <v>Natural yellow</v>
      </c>
      <c r="D52" s="5" t="s">
        <v>3</v>
      </c>
      <c r="E52" s="47" t="str">
        <f>CHOOSE(DETAILS!$B$2,"szt.","piece","Stück","pièce","unidad","pz.","ks","ks")</f>
        <v>piece</v>
      </c>
      <c r="F52" s="27">
        <f xmlns="http://schemas.openxmlformats.org/spreadsheetml/2006/main">ROUND(BASE_PRICES!B51*(1+DETAILS!$B$30)/DETAILS!$B$26,2)</f>
        <v>19.600000000000001</v>
      </c>
      <c r="G52" s="24">
        <v>0</v>
      </c>
      <c r="H52" s="28" t="str">
        <f xmlns="http://schemas.openxmlformats.org/spreadsheetml/2006/main">IF(ISNUMBER(PRICES!V51),ROUND(PRICES!V51*(1+DETAILS!$B$30)/DETAILS!$B$26,4),"")</f>
        <v>0</v>
      </c>
      <c r="I52" s="29" t="str">
        <f>IF(AND(ISNUMBER(PRICES!V51),BASE_PRICES!B51&gt;0),1-PRICES!V51/BASE_PRICES!B51,"")</f>
        <v/>
      </c>
      <c r="J52" s="30" t="str">
        <f t="shared" si="1"/>
        <v/>
      </c>
      <c r="K52" s="6" t="s">
        <v>1</v>
      </c>
      <c r="L52" s="26" t="str">
        <f>IF(NOT(ISNUMBER(G52)),CHOOSE(DETAILS!$B$2,"Wpisz liczbę całkowitą ≥ 0","Enter a whole number ≥ 0","Ganze Zahl ≥ 0 eingeben","Saisir un entier ≥ 0","Introduzca un entero ≥ 0","Inserire un numero intero ≥ 0","Zadejte celé číslo ≥ 0","Zadajte celé číslo ≥ 0"),IF(OR(G52&lt;0,MOD(G52,1)&lt;&gt;0),CHOOSE(DETAILS!$B$2,"Wpisz liczbę całkowitą ≥ 0","Enter a whole number ≥ 0","Ganze Zahl ≥ 0 eingeben","Saisir un entier ≥ 0","Introduzca un entero ≥ 0","Inserire un numero intero ≥ 0","Zadejte celé číslo ≥ 0","Zadajte celé číslo ≥ 0"),IF(G52=0,"",IF(G52&lt;BASE_PRICES!D51,CHOOSE(DETAILS!$B$2,"Minimum: ","Minimum: ","Mindestmenge: ","Minimum : ","Mínimo: ","Minimo: ","Minimum: ","Minimum: ")&amp;BASE_PRICES!D51,IF(MOD(G52,BASE_PRICES!E51)&lt;&gt;0,CHOOSE(DETAILS!$B$2,"Wielokrotność: ","Order in multiples of: ","Bestellen in Vielfachen von: ","Commander par multiples de : ","Pedir en múltiplos de: ","Ordinare in multipli di: ","Objednávejte násobky: ","Objednávajte násobky: ")&amp;BASE_PRICES!E51,IF(ISNUMBER(H52),CHOOSE(DETAILS!$B$2,"Wyceniono","Priced","Bepreist","Chiffré","Calculado","Prezzo calcolato","Cena vypočtena","Cena vypočítaná"),CHOOSE(DETAILS!$B$2,"Cena na zapytanie","Price on request","Preis auf Anfrage","Prix sur demande","Precio a consultar","Prezzo su richiesta","Cena na dotaz","Cena na vyžiadanie")))))))</f>
        <v/>
      </c>
      <c r="M52" s="2"/>
      <c r="N52" s="2"/>
      <c r="O52" s="2"/>
      <c r="P52" s="2"/>
      <c r="Q52" s="2"/>
    </row>
    <row r="53" spans="1:17" ht="52" customHeight="1">
      <c r="A53" s="4" t="e" vm="48">
        <v>#VALUE!</v>
      </c>
      <c r="B53" s="43" t="str">
        <f>CHOOSE(DETAILS!$B$2,"Świeca runiczna Uruz","Uruz rune candle","Uruz-Runenkerze","Bougie runique Uruz","Vela rúnica Uruz","Candela runica Uruz","Runová svíčka Uruz","Runová sviečka Uruz")</f>
        <v>Uruz rune candle</v>
      </c>
      <c r="C53" s="43" t="str">
        <f>CHOOSE(DETAILS!$B$2,"Naturalna żółta","Natural yellow","Naturgelb","Jaune naturel","Amarillo natural","Giallo naturale","Přírodní žlutá","Prírodná žltá")</f>
        <v>Natural yellow</v>
      </c>
      <c r="D53" s="1" t="s">
        <v>3</v>
      </c>
      <c r="E53" s="43" t="str">
        <f>CHOOSE(DETAILS!$B$2,"szt.","piece","Stück","pièce","unidad","pz.","ks","ks")</f>
        <v>piece</v>
      </c>
      <c r="F53" s="27">
        <f xmlns="http://schemas.openxmlformats.org/spreadsheetml/2006/main">ROUND(BASE_PRICES!B52*(1+DETAILS!$B$30)/DETAILS!$B$26,2)</f>
        <v>19.600000000000001</v>
      </c>
      <c r="G53" s="24">
        <v>0</v>
      </c>
      <c r="H53" s="28" t="str">
        <f xmlns="http://schemas.openxmlformats.org/spreadsheetml/2006/main">IF(ISNUMBER(PRICES!V52),ROUND(PRICES!V52*(1+DETAILS!$B$30)/DETAILS!$B$26,4),"")</f>
        <v>0</v>
      </c>
      <c r="I53" s="31" t="str">
        <f>IF(AND(ISNUMBER(PRICES!V52),BASE_PRICES!B52&gt;0),1-PRICES!V52/BASE_PRICES!B52,"")</f>
        <v/>
      </c>
      <c r="J53" s="22" t="str">
        <f t="shared" si="1"/>
        <v/>
      </c>
      <c r="K53" s="7" t="s">
        <v>1</v>
      </c>
      <c r="L53" s="21" t="str">
        <f>IF(NOT(ISNUMBER(G53)),CHOOSE(DETAILS!$B$2,"Wpisz liczbę całkowitą ≥ 0","Enter a whole number ≥ 0","Ganze Zahl ≥ 0 eingeben","Saisir un entier ≥ 0","Introduzca un entero ≥ 0","Inserire un numero intero ≥ 0","Zadejte celé číslo ≥ 0","Zadajte celé číslo ≥ 0"),IF(OR(G53&lt;0,MOD(G53,1)&lt;&gt;0),CHOOSE(DETAILS!$B$2,"Wpisz liczbę całkowitą ≥ 0","Enter a whole number ≥ 0","Ganze Zahl ≥ 0 eingeben","Saisir un entier ≥ 0","Introduzca un entero ≥ 0","Inserire un numero intero ≥ 0","Zadejte celé číslo ≥ 0","Zadajte celé číslo ≥ 0"),IF(G53=0,"",IF(G53&lt;BASE_PRICES!D52,CHOOSE(DETAILS!$B$2,"Minimum: ","Minimum: ","Mindestmenge: ","Minimum : ","Mínimo: ","Minimo: ","Minimum: ","Minimum: ")&amp;BASE_PRICES!D52,IF(MOD(G53,BASE_PRICES!E52)&lt;&gt;0,CHOOSE(DETAILS!$B$2,"Wielokrotność: ","Order in multiples of: ","Bestellen in Vielfachen von: ","Commander par multiples de : ","Pedir en múltiplos de: ","Ordinare in multipli di: ","Objednávejte násobky: ","Objednávajte násobky: ")&amp;BASE_PRICES!E52,IF(ISNUMBER(H53),CHOOSE(DETAILS!$B$2,"Wyceniono","Priced","Bepreist","Chiffré","Calculado","Prezzo calcolato","Cena vypočtena","Cena vypočítaná"),CHOOSE(DETAILS!$B$2,"Cena na zapytanie","Price on request","Preis auf Anfrage","Prix sur demande","Precio a consultar","Prezzo su richiesta","Cena na dotaz","Cena na vyžiadanie")))))))</f>
        <v/>
      </c>
      <c r="M53" s="2"/>
      <c r="N53" s="2"/>
      <c r="O53" s="2"/>
      <c r="P53" s="2"/>
      <c r="Q53" s="2"/>
    </row>
    <row r="54" spans="1:17" ht="52" customHeight="1">
      <c r="A54" s="4" t="e" vm="49">
        <v>#VALUE!</v>
      </c>
      <c r="B54" s="47" t="str">
        <f>CHOOSE(DETAILS!$B$2,"Świeca runiczna Wunjo","Wunjo rune candle","Wunjo-Runenkerze","Bougie runique Wunjo","Vela rúnica Wunjo","Candela runica Wunjo","Runová svíčka Wunjo","Runová sviečka Wunjo")</f>
        <v>Wunjo rune candle</v>
      </c>
      <c r="C54" s="47" t="str">
        <f>CHOOSE(DETAILS!$B$2,"Naturalna żółta","Natural yellow","Naturgelb","Jaune naturel","Amarillo natural","Giallo naturale","Přírodní žlutá","Prírodná žltá")</f>
        <v>Natural yellow</v>
      </c>
      <c r="D54" s="5" t="s">
        <v>3</v>
      </c>
      <c r="E54" s="47" t="str">
        <f>CHOOSE(DETAILS!$B$2,"szt.","piece","Stück","pièce","unidad","pz.","ks","ks")</f>
        <v>piece</v>
      </c>
      <c r="F54" s="27">
        <f xmlns="http://schemas.openxmlformats.org/spreadsheetml/2006/main">ROUND(BASE_PRICES!B53*(1+DETAILS!$B$30)/DETAILS!$B$26,2)</f>
        <v>19.600000000000001</v>
      </c>
      <c r="G54" s="24">
        <v>0</v>
      </c>
      <c r="H54" s="28" t="str">
        <f xmlns="http://schemas.openxmlformats.org/spreadsheetml/2006/main">IF(ISNUMBER(PRICES!V53),ROUND(PRICES!V53*(1+DETAILS!$B$30)/DETAILS!$B$26,4),"")</f>
        <v>0</v>
      </c>
      <c r="I54" s="29" t="str">
        <f>IF(AND(ISNUMBER(PRICES!V53),BASE_PRICES!B53&gt;0),1-PRICES!V53/BASE_PRICES!B53,"")</f>
        <v/>
      </c>
      <c r="J54" s="30" t="str">
        <f t="shared" si="1"/>
        <v/>
      </c>
      <c r="K54" s="6" t="s">
        <v>1</v>
      </c>
      <c r="L54" s="26" t="str">
        <f>IF(NOT(ISNUMBER(G54)),CHOOSE(DETAILS!$B$2,"Wpisz liczbę całkowitą ≥ 0","Enter a whole number ≥ 0","Ganze Zahl ≥ 0 eingeben","Saisir un entier ≥ 0","Introduzca un entero ≥ 0","Inserire un numero intero ≥ 0","Zadejte celé číslo ≥ 0","Zadajte celé číslo ≥ 0"),IF(OR(G54&lt;0,MOD(G54,1)&lt;&gt;0),CHOOSE(DETAILS!$B$2,"Wpisz liczbę całkowitą ≥ 0","Enter a whole number ≥ 0","Ganze Zahl ≥ 0 eingeben","Saisir un entier ≥ 0","Introduzca un entero ≥ 0","Inserire un numero intero ≥ 0","Zadejte celé číslo ≥ 0","Zadajte celé číslo ≥ 0"),IF(G54=0,"",IF(G54&lt;BASE_PRICES!D53,CHOOSE(DETAILS!$B$2,"Minimum: ","Minimum: ","Mindestmenge: ","Minimum : ","Mínimo: ","Minimo: ","Minimum: ","Minimum: ")&amp;BASE_PRICES!D53,IF(MOD(G54,BASE_PRICES!E53)&lt;&gt;0,CHOOSE(DETAILS!$B$2,"Wielokrotność: ","Order in multiples of: ","Bestellen in Vielfachen von: ","Commander par multiples de : ","Pedir en múltiplos de: ","Ordinare in multipli di: ","Objednávejte násobky: ","Objednávajte násobky: ")&amp;BASE_PRICES!E53,IF(ISNUMBER(H54),CHOOSE(DETAILS!$B$2,"Wyceniono","Priced","Bepreist","Chiffré","Calculado","Prezzo calcolato","Cena vypočtena","Cena vypočítaná"),CHOOSE(DETAILS!$B$2,"Cena na zapytanie","Price on request","Preis auf Anfrage","Prix sur demande","Precio a consultar","Prezzo su richiesta","Cena na dotaz","Cena na vyžiadanie")))))))</f>
        <v/>
      </c>
      <c r="M54" s="2"/>
      <c r="N54" s="2"/>
      <c r="O54" s="2"/>
      <c r="P54" s="2"/>
      <c r="Q54" s="2"/>
    </row>
    <row r="55" spans="1:17" ht="52" customHeight="1">
      <c r="A55" s="4" t="e" vm="50">
        <v>#VALUE!</v>
      </c>
      <c r="B55" s="43" t="str">
        <f>CHOOSE(DETAILS!$B$2,"Świecznik","Candle holder","Kerzenhalter","Bougeoir","Portavelas","Portacandele","Svícen","Svietnik")</f>
        <v>Candle holder</v>
      </c>
      <c r="C55" s="43" t="str">
        <f>CHOOSE(DETAILS!$B$2,"Złota","Gold","Gold","Dorée","Dorada","Oro","Zlatá","Zlatá")</f>
        <v>Gold</v>
      </c>
      <c r="D55" s="1" t="s">
        <v>4</v>
      </c>
      <c r="E55" s="43" t="str">
        <f>CHOOSE(DETAILS!$B$2,"szt.","piece","Stück","pièce","unidad","pz.","ks","ks")</f>
        <v>piece</v>
      </c>
      <c r="F55" s="27">
        <f xmlns="http://schemas.openxmlformats.org/spreadsheetml/2006/main">ROUND(BASE_PRICES!B54*(1+DETAILS!$B$30)/DETAILS!$B$26,2)</f>
        <v>63.2</v>
      </c>
      <c r="G55" s="24">
        <v>0</v>
      </c>
      <c r="H55" s="28" t="str">
        <f xmlns="http://schemas.openxmlformats.org/spreadsheetml/2006/main">IF(ISNUMBER(PRICES!V54),ROUND(PRICES!V54*(1+DETAILS!$B$30)/DETAILS!$B$26,4),"")</f>
        <v>0</v>
      </c>
      <c r="I55" s="31" t="str">
        <f>IF(AND(ISNUMBER(PRICES!V54),BASE_PRICES!B54&gt;0),1-PRICES!V54/BASE_PRICES!B54,"")</f>
        <v/>
      </c>
      <c r="J55" s="22" t="str">
        <f t="shared" si="1"/>
        <v/>
      </c>
      <c r="K55" s="7" t="s">
        <v>1</v>
      </c>
      <c r="L55" s="21" t="str">
        <f>IF(NOT(ISNUMBER(G55)),CHOOSE(DETAILS!$B$2,"Wpisz liczbę całkowitą ≥ 0","Enter a whole number ≥ 0","Ganze Zahl ≥ 0 eingeben","Saisir un entier ≥ 0","Introduzca un entero ≥ 0","Inserire un numero intero ≥ 0","Zadejte celé číslo ≥ 0","Zadajte celé číslo ≥ 0"),IF(OR(G55&lt;0,MOD(G55,1)&lt;&gt;0),CHOOSE(DETAILS!$B$2,"Wpisz liczbę całkowitą ≥ 0","Enter a whole number ≥ 0","Ganze Zahl ≥ 0 eingeben","Saisir un entier ≥ 0","Introduzca un entero ≥ 0","Inserire un numero intero ≥ 0","Zadejte celé číslo ≥ 0","Zadajte celé číslo ≥ 0"),IF(G55=0,"",IF(G55&lt;BASE_PRICES!D54,CHOOSE(DETAILS!$B$2,"Minimum: ","Minimum: ","Mindestmenge: ","Minimum : ","Mínimo: ","Minimo: ","Minimum: ","Minimum: ")&amp;BASE_PRICES!D54,IF(MOD(G55,BASE_PRICES!E54)&lt;&gt;0,CHOOSE(DETAILS!$B$2,"Wielokrotność: ","Order in multiples of: ","Bestellen in Vielfachen von: ","Commander par multiples de : ","Pedir en múltiplos de: ","Ordinare in multipli di: ","Objednávejte násobky: ","Objednávajte násobky: ")&amp;BASE_PRICES!E54,IF(ISNUMBER(H55),CHOOSE(DETAILS!$B$2,"Wyceniono","Priced","Bepreist","Chiffré","Calculado","Prezzo calcolato","Cena vypočtena","Cena vypočítaná"),CHOOSE(DETAILS!$B$2,"Cena na zapytanie","Price on request","Preis auf Anfrage","Prix sur demande","Precio a consultar","Prezzo su richiesta","Cena na dotaz","Cena na vyžiadanie")))))))</f>
        <v/>
      </c>
      <c r="M55" s="2"/>
      <c r="N55" s="2"/>
      <c r="O55" s="2"/>
      <c r="P55" s="2"/>
      <c r="Q55" s="2"/>
    </row>
    <row r="56" spans="1:17" ht="52" customHeight="1">
      <c r="A56" s="4" t="e" vm="51">
        <v>#VALUE!</v>
      </c>
      <c r="B56" s="47" t="str">
        <f>CHOOSE(DETAILS!$B$2,"Świecznik","Candle holder","Kerzenhalter","Bougeoir","Portavelas","Portacandele","Svícen","Svietnik")</f>
        <v>Candle holder</v>
      </c>
      <c r="C56" s="47" t="str">
        <f>CHOOSE(DETAILS!$B$2,"Złota","Gold","Gold","Dorée","Dorada","Oro","Zlatá","Zlatá")</f>
        <v>Gold</v>
      </c>
      <c r="D56" s="5" t="s">
        <v>5</v>
      </c>
      <c r="E56" s="47" t="str">
        <f>CHOOSE(DETAILS!$B$2,"szt.","piece","Stück","pièce","unidad","pz.","ks","ks")</f>
        <v>piece</v>
      </c>
      <c r="F56" s="27">
        <f xmlns="http://schemas.openxmlformats.org/spreadsheetml/2006/main">ROUND(BASE_PRICES!B55*(1+DETAILS!$B$30)/DETAILS!$B$26,2)</f>
        <v>53.2</v>
      </c>
      <c r="G56" s="24">
        <v>0</v>
      </c>
      <c r="H56" s="28" t="str">
        <f xmlns="http://schemas.openxmlformats.org/spreadsheetml/2006/main">IF(ISNUMBER(PRICES!V55),ROUND(PRICES!V55*(1+DETAILS!$B$30)/DETAILS!$B$26,4),"")</f>
        <v>0</v>
      </c>
      <c r="I56" s="29" t="str">
        <f>IF(AND(ISNUMBER(PRICES!V55),BASE_PRICES!B55&gt;0),1-PRICES!V55/BASE_PRICES!B55,"")</f>
        <v/>
      </c>
      <c r="J56" s="30" t="str">
        <f t="shared" si="1"/>
        <v/>
      </c>
      <c r="K56" s="6" t="s">
        <v>1</v>
      </c>
      <c r="L56" s="26" t="str">
        <f>IF(NOT(ISNUMBER(G56)),CHOOSE(DETAILS!$B$2,"Wpisz liczbę całkowitą ≥ 0","Enter a whole number ≥ 0","Ganze Zahl ≥ 0 eingeben","Saisir un entier ≥ 0","Introduzca un entero ≥ 0","Inserire un numero intero ≥ 0","Zadejte celé číslo ≥ 0","Zadajte celé číslo ≥ 0"),IF(OR(G56&lt;0,MOD(G56,1)&lt;&gt;0),CHOOSE(DETAILS!$B$2,"Wpisz liczbę całkowitą ≥ 0","Enter a whole number ≥ 0","Ganze Zahl ≥ 0 eingeben","Saisir un entier ≥ 0","Introduzca un entero ≥ 0","Inserire un numero intero ≥ 0","Zadejte celé číslo ≥ 0","Zadajte celé číslo ≥ 0"),IF(G56=0,"",IF(G56&lt;BASE_PRICES!D55,CHOOSE(DETAILS!$B$2,"Minimum: ","Minimum: ","Mindestmenge: ","Minimum : ","Mínimo: ","Minimo: ","Minimum: ","Minimum: ")&amp;BASE_PRICES!D55,IF(MOD(G56,BASE_PRICES!E55)&lt;&gt;0,CHOOSE(DETAILS!$B$2,"Wielokrotność: ","Order in multiples of: ","Bestellen in Vielfachen von: ","Commander par multiples de : ","Pedir en múltiplos de: ","Ordinare in multipli di: ","Objednávejte násobky: ","Objednávajte násobky: ")&amp;BASE_PRICES!E55,IF(ISNUMBER(H56),CHOOSE(DETAILS!$B$2,"Wyceniono","Priced","Bepreist","Chiffré","Calculado","Prezzo calcolato","Cena vypočtena","Cena vypočítaná"),CHOOSE(DETAILS!$B$2,"Cena na zapytanie","Price on request","Preis auf Anfrage","Prix sur demande","Precio a consultar","Prezzo su richiesta","Cena na dotaz","Cena na vyžiadanie")))))))</f>
        <v/>
      </c>
      <c r="M56" s="2"/>
      <c r="N56" s="2"/>
      <c r="O56" s="2"/>
      <c r="P56" s="2"/>
      <c r="Q56" s="2"/>
    </row>
    <row r="57" spans="1:17" ht="52" customHeight="1">
      <c r="A57" s="4" t="e" vm="52">
        <v>#VALUE!</v>
      </c>
      <c r="B57" s="43" t="str">
        <f>CHOOSE(DETAILS!$B$2,"Świecznik","Candle holder","Kerzenhalter","Bougeoir","Portavelas","Portacandele","Svícen","Svietnik")</f>
        <v>Candle holder</v>
      </c>
      <c r="C57" s="43" t="str">
        <f>CHOOSE(DETAILS!$B$2,"Złota","Gold","Gold","Dorée","Dorada","Oro","Zlatá","Zlatá")</f>
        <v>Gold</v>
      </c>
      <c r="D57" s="1" t="s">
        <v>6</v>
      </c>
      <c r="E57" s="43" t="str">
        <f>CHOOSE(DETAILS!$B$2,"szt.","piece","Stück","pièce","unidad","pz.","ks","ks")</f>
        <v>piece</v>
      </c>
      <c r="F57" s="27">
        <f xmlns="http://schemas.openxmlformats.org/spreadsheetml/2006/main">ROUND(BASE_PRICES!B56*(1+DETAILS!$B$30)/DETAILS!$B$26,2)</f>
        <v>58.97</v>
      </c>
      <c r="G57" s="24">
        <v>0</v>
      </c>
      <c r="H57" s="28" t="str">
        <f xmlns="http://schemas.openxmlformats.org/spreadsheetml/2006/main">IF(ISNUMBER(PRICES!V56),ROUND(PRICES!V56*(1+DETAILS!$B$30)/DETAILS!$B$26,4),"")</f>
        <v>0</v>
      </c>
      <c r="I57" s="31" t="str">
        <f>IF(AND(ISNUMBER(PRICES!V56),BASE_PRICES!B56&gt;0),1-PRICES!V56/BASE_PRICES!B56,"")</f>
        <v/>
      </c>
      <c r="J57" s="22" t="str">
        <f t="shared" si="1"/>
        <v/>
      </c>
      <c r="K57" s="7" t="s">
        <v>1</v>
      </c>
      <c r="L57" s="21" t="str">
        <f>IF(NOT(ISNUMBER(G57)),CHOOSE(DETAILS!$B$2,"Wpisz liczbę całkowitą ≥ 0","Enter a whole number ≥ 0","Ganze Zahl ≥ 0 eingeben","Saisir un entier ≥ 0","Introduzca un entero ≥ 0","Inserire un numero intero ≥ 0","Zadejte celé číslo ≥ 0","Zadajte celé číslo ≥ 0"),IF(OR(G57&lt;0,MOD(G57,1)&lt;&gt;0),CHOOSE(DETAILS!$B$2,"Wpisz liczbę całkowitą ≥ 0","Enter a whole number ≥ 0","Ganze Zahl ≥ 0 eingeben","Saisir un entier ≥ 0","Introduzca un entero ≥ 0","Inserire un numero intero ≥ 0","Zadejte celé číslo ≥ 0","Zadajte celé číslo ≥ 0"),IF(G57=0,"",IF(G57&lt;BASE_PRICES!D56,CHOOSE(DETAILS!$B$2,"Minimum: ","Minimum: ","Mindestmenge: ","Minimum : ","Mínimo: ","Minimo: ","Minimum: ","Minimum: ")&amp;BASE_PRICES!D56,IF(MOD(G57,BASE_PRICES!E56)&lt;&gt;0,CHOOSE(DETAILS!$B$2,"Wielokrotność: ","Order in multiples of: ","Bestellen in Vielfachen von: ","Commander par multiples de : ","Pedir en múltiplos de: ","Ordinare in multipli di: ","Objednávejte násobky: ","Objednávajte násobky: ")&amp;BASE_PRICES!E56,IF(ISNUMBER(H57),CHOOSE(DETAILS!$B$2,"Wyceniono","Priced","Bepreist","Chiffré","Calculado","Prezzo calcolato","Cena vypočtena","Cena vypočítaná"),CHOOSE(DETAILS!$B$2,"Cena na zapytanie","Price on request","Preis auf Anfrage","Prix sur demande","Precio a consultar","Prezzo su richiesta","Cena na dotaz","Cena na vyžiadanie")))))))</f>
        <v/>
      </c>
      <c r="M57" s="2"/>
      <c r="N57" s="2"/>
      <c r="O57" s="2"/>
      <c r="P57" s="2"/>
      <c r="Q57" s="2"/>
    </row>
    <row r="58" spans="1:17" ht="52" customHeight="1">
      <c r="A58" s="4" t="e" vm="53">
        <v>#VALUE!</v>
      </c>
      <c r="B58" s="47" t="str">
        <f>CHOOSE(DETAILS!$B$2,"Świecznik","Candle holder","Kerzenhalter","Bougeoir","Portavelas","Portacandele","Svícen","Svietnik")</f>
        <v>Candle holder</v>
      </c>
      <c r="C58" s="47" t="str">
        <f>CHOOSE(DETAILS!$B$2,"Złota","Gold","Gold","Dorée","Dorada","Oro","Zlatá","Zlatá")</f>
        <v>Gold</v>
      </c>
      <c r="D58" s="5" t="s">
        <v>7</v>
      </c>
      <c r="E58" s="47" t="str">
        <f>CHOOSE(DETAILS!$B$2,"szt.","piece","Stück","pièce","unidad","pz.","ks","ks")</f>
        <v>piece</v>
      </c>
      <c r="F58" s="27">
        <f xmlns="http://schemas.openxmlformats.org/spreadsheetml/2006/main">ROUND(BASE_PRICES!B57*(1+DETAILS!$B$30)/DETAILS!$B$26,2)</f>
        <v>50.97</v>
      </c>
      <c r="G58" s="24">
        <v>0</v>
      </c>
      <c r="H58" s="28" t="str">
        <f xmlns="http://schemas.openxmlformats.org/spreadsheetml/2006/main">IF(ISNUMBER(PRICES!V57),ROUND(PRICES!V57*(1+DETAILS!$B$30)/DETAILS!$B$26,4),"")</f>
        <v>0</v>
      </c>
      <c r="I58" s="29" t="str">
        <f>IF(AND(ISNUMBER(PRICES!V57),BASE_PRICES!B57&gt;0),1-PRICES!V57/BASE_PRICES!B57,"")</f>
        <v/>
      </c>
      <c r="J58" s="30" t="str">
        <f t="shared" si="1"/>
        <v/>
      </c>
      <c r="K58" s="6" t="s">
        <v>1</v>
      </c>
      <c r="L58" s="26" t="str">
        <f>IF(NOT(ISNUMBER(G58)),CHOOSE(DETAILS!$B$2,"Wpisz liczbę całkowitą ≥ 0","Enter a whole number ≥ 0","Ganze Zahl ≥ 0 eingeben","Saisir un entier ≥ 0","Introduzca un entero ≥ 0","Inserire un numero intero ≥ 0","Zadejte celé číslo ≥ 0","Zadajte celé číslo ≥ 0"),IF(OR(G58&lt;0,MOD(G58,1)&lt;&gt;0),CHOOSE(DETAILS!$B$2,"Wpisz liczbę całkowitą ≥ 0","Enter a whole number ≥ 0","Ganze Zahl ≥ 0 eingeben","Saisir un entier ≥ 0","Introduzca un entero ≥ 0","Inserire un numero intero ≥ 0","Zadejte celé číslo ≥ 0","Zadajte celé číslo ≥ 0"),IF(G58=0,"",IF(G58&lt;BASE_PRICES!D57,CHOOSE(DETAILS!$B$2,"Minimum: ","Minimum: ","Mindestmenge: ","Minimum : ","Mínimo: ","Minimo: ","Minimum: ","Minimum: ")&amp;BASE_PRICES!D57,IF(MOD(G58,BASE_PRICES!E57)&lt;&gt;0,CHOOSE(DETAILS!$B$2,"Wielokrotność: ","Order in multiples of: ","Bestellen in Vielfachen von: ","Commander par multiples de : ","Pedir en múltiplos de: ","Ordinare in multipli di: ","Objednávejte násobky: ","Objednávajte násobky: ")&amp;BASE_PRICES!E57,IF(ISNUMBER(H58),CHOOSE(DETAILS!$B$2,"Wyceniono","Priced","Bepreist","Chiffré","Calculado","Prezzo calcolato","Cena vypočtena","Cena vypočítaná"),CHOOSE(DETAILS!$B$2,"Cena na zapytanie","Price on request","Preis auf Anfrage","Prix sur demande","Precio a consultar","Prezzo su richiesta","Cena na dotaz","Cena na vyžiadanie")))))))</f>
        <v/>
      </c>
      <c r="M58" s="2"/>
      <c r="N58" s="2"/>
      <c r="O58" s="2"/>
      <c r="P58" s="2"/>
      <c r="Q58" s="2"/>
    </row>
    <row r="59" spans="1:17" ht="23.05" customHeight="1">
      <c r="A59" s="2"/>
      <c r="B59" s="2"/>
      <c r="C59" s="2"/>
      <c r="D59" s="2"/>
      <c r="E59" s="2"/>
      <c r="F59" s="27"/>
      <c r="G59" s="2"/>
      <c r="H59" s="2"/>
      <c r="I59" s="2"/>
      <c r="J59" s="2"/>
      <c r="K59" s="2"/>
      <c r="L59" s="2"/>
      <c r="M59" s="2"/>
      <c r="N59" s="2"/>
      <c r="O59" s="2"/>
      <c r="P59" s="2"/>
      <c r="Q59" s="2"/>
    </row>
    <row r="60" spans="1:17" ht="23.05" customHeight="1">
      <c r="A60" s="2"/>
      <c r="B60" s="2"/>
      <c r="C60" s="2"/>
      <c r="D60" s="2"/>
      <c r="E60" s="2"/>
      <c r="F60" s="27"/>
      <c r="G60" s="2"/>
      <c r="H60" s="2"/>
      <c r="I60" s="2"/>
      <c r="J60" s="2"/>
      <c r="K60" s="2"/>
      <c r="L60" s="2"/>
      <c r="M60" s="2"/>
      <c r="N60" s="2"/>
      <c r="O60" s="2"/>
      <c r="P60" s="2"/>
      <c r="Q60" s="2"/>
    </row>
    <row r="61" spans="1:17" ht="23.05" customHeight="1">
      <c r="A61" s="2"/>
      <c r="B61" s="2"/>
      <c r="C61" s="2"/>
      <c r="D61" s="2"/>
      <c r="E61" s="2"/>
      <c r="F61" s="2"/>
      <c r="G61" s="2"/>
      <c r="H61" s="2"/>
      <c r="I61" s="2"/>
      <c r="J61" s="2"/>
      <c r="K61" s="2"/>
      <c r="L61" s="2"/>
      <c r="M61" s="2"/>
      <c r="N61" s="2"/>
      <c r="O61" s="2"/>
      <c r="P61" s="2"/>
      <c r="Q61" s="2"/>
    </row>
    <row r="62" spans="1:17" ht="23.05" customHeight="1">
      <c r="A62" s="2"/>
      <c r="B62" s="2"/>
      <c r="C62" s="2"/>
      <c r="D62" s="2"/>
      <c r="E62" s="2"/>
      <c r="F62" s="2"/>
      <c r="G62" s="2"/>
      <c r="H62" s="2"/>
      <c r="I62" s="2"/>
      <c r="J62" s="2"/>
      <c r="K62" s="2"/>
      <c r="L62" s="2"/>
      <c r="M62" s="2"/>
      <c r="N62" s="2"/>
      <c r="O62" s="2"/>
      <c r="P62" s="2"/>
      <c r="Q62" s="2"/>
    </row>
  </sheetData>
  <autoFilter ref="A5:L58" xr:uid="{00000000-0009-0000-0000-000000000000}"/>
  <mergeCells count="7">
    <mergeCell ref="A4:L4"/>
    <mergeCell ref="A1:D1"/>
    <mergeCell ref="F1:L1"/>
    <mergeCell ref="H2:I2"/>
    <mergeCell ref="J2:K2"/>
    <mergeCell ref="A3:G3"/>
    <mergeCell ref="H3:K3"/>
  </mergeCells>
  <phoneticPr fontId="31" type="noConversion"/>
  <dataValidations count="56">
    <dataValidation type="list" showErrorMessage="1" errorTitle="Invalid input" error="Select an available option or enter a valid quantity." sqref="B2" xr:uid="{00000000-0002-0000-0000-000000000000}">
      <formula1>"Polski,English,Deutsch,Français,Español,Italiano,Čeština,Slovenčina"</formula1>
    </dataValidation>
    <dataValidation type="list" showErrorMessage="1" errorTitle="Invalid input" error="Select an available option or enter a valid quantity." sqref="D2" xr:uid="{00000000-0002-0000-0000-000001000000}">
      <formula1>"PL,AT,BE,BG,HR,CY,CZ,DK,EE,FI,FR,DE,GR,HU,IE,IT,LV,LT,LU,MT,NL,PT,RO,SK,SI,ES,SE,GB,NO,CH,IS,LI"</formula1>
    </dataValidation>
    <dataValidation type="list" showErrorMessage="1" errorTitle="Invalid input" error="Select an available option or enter a valid quantity." sqref="F2" xr:uid="{00000000-0002-0000-0000-000002000000}">
      <formula1>"AUTO,PLN,EUR,GBP,CZK,HUF,SEK,DKK,NOK,CHF,RON,ISK"</formula1>
    </dataValidation>
    <dataValidation type="custom" showErrorMessage="1" errorTitle="Invalid input" error="Select an available option or enter a valid quantity." sqref="G6" xr:uid="{00000000-0002-0000-0000-000003000000}">
      <formula1>OR(G6=0,AND(ISNUMBER(G6),G6&gt;=INDIRECT("BASE_PRICES!D5"),MOD(G6,INDIRECT("BASE_PRICES!E5"))=0))</formula1>
    </dataValidation>
    <dataValidation type="custom" showErrorMessage="1" errorTitle="Invalid input" error="Select an available option or enter a valid quantity." sqref="G7" xr:uid="{00000000-0002-0000-0000-000004000000}">
      <formula1>OR(G7=0,AND(ISNUMBER(G7),G7&gt;=INDIRECT("BASE_PRICES!D6"),MOD(G7,INDIRECT("BASE_PRICES!E6"))=0))</formula1>
    </dataValidation>
    <dataValidation type="custom" showErrorMessage="1" errorTitle="Invalid input" error="Select an available option or enter a valid quantity." sqref="G8" xr:uid="{00000000-0002-0000-0000-000005000000}">
      <formula1>OR(G8=0,AND(ISNUMBER(G8),G8&gt;=INDIRECT("BASE_PRICES!D7"),MOD(G8,INDIRECT("BASE_PRICES!E7"))=0))</formula1>
    </dataValidation>
    <dataValidation type="custom" showErrorMessage="1" errorTitle="Invalid input" error="Select an available option or enter a valid quantity." sqref="G9" xr:uid="{00000000-0002-0000-0000-000006000000}">
      <formula1>OR(G9=0,AND(ISNUMBER(G9),G9&gt;=INDIRECT("BASE_PRICES!D8"),MOD(G9,INDIRECT("BASE_PRICES!E8"))=0))</formula1>
    </dataValidation>
    <dataValidation type="custom" showErrorMessage="1" errorTitle="Invalid input" error="Select an available option or enter a valid quantity." sqref="G10" xr:uid="{00000000-0002-0000-0000-000007000000}">
      <formula1>OR(G10=0,AND(ISNUMBER(G10),G10&gt;=INDIRECT("BASE_PRICES!D9"),MOD(G10,INDIRECT("BASE_PRICES!E9"))=0))</formula1>
    </dataValidation>
    <dataValidation type="custom" showErrorMessage="1" errorTitle="Invalid input" error="Select an available option or enter a valid quantity." sqref="G11" xr:uid="{00000000-0002-0000-0000-000008000000}">
      <formula1>OR(G11=0,AND(ISNUMBER(G11),G11&gt;=INDIRECT("BASE_PRICES!D10"),MOD(G11,INDIRECT("BASE_PRICES!E10"))=0))</formula1>
    </dataValidation>
    <dataValidation type="custom" showErrorMessage="1" errorTitle="Invalid input" error="Select an available option or enter a valid quantity." sqref="G12" xr:uid="{00000000-0002-0000-0000-000009000000}">
      <formula1>OR(G12=0,AND(ISNUMBER(G12),G12&gt;=INDIRECT("BASE_PRICES!D11"),MOD(G12,INDIRECT("BASE_PRICES!E11"))=0))</formula1>
    </dataValidation>
    <dataValidation type="custom" showErrorMessage="1" errorTitle="Invalid input" error="Select an available option or enter a valid quantity." sqref="G13" xr:uid="{00000000-0002-0000-0000-00000A000000}">
      <formula1>OR(G13=0,AND(ISNUMBER(G13),G13&gt;=INDIRECT("BASE_PRICES!D12"),MOD(G13,INDIRECT("BASE_PRICES!E12"))=0))</formula1>
    </dataValidation>
    <dataValidation type="custom" showErrorMessage="1" errorTitle="Invalid input" error="Select an available option or enter a valid quantity." sqref="G14" xr:uid="{00000000-0002-0000-0000-00000B000000}">
      <formula1>OR(G14=0,AND(ISNUMBER(G14),G14&gt;=INDIRECT("BASE_PRICES!D13"),MOD(G14,INDIRECT("BASE_PRICES!E13"))=0))</formula1>
    </dataValidation>
    <dataValidation type="custom" showErrorMessage="1" errorTitle="Invalid input" error="Select an available option or enter a valid quantity." sqref="G15" xr:uid="{00000000-0002-0000-0000-00000C000000}">
      <formula1>OR(G15=0,AND(ISNUMBER(G15),G15&gt;=INDIRECT("BASE_PRICES!D14"),MOD(G15,INDIRECT("BASE_PRICES!E14"))=0))</formula1>
    </dataValidation>
    <dataValidation type="custom" showErrorMessage="1" errorTitle="Invalid input" error="Select an available option or enter a valid quantity." sqref="G16" xr:uid="{00000000-0002-0000-0000-00000D000000}">
      <formula1>OR(G16=0,AND(ISNUMBER(G16),G16&gt;=INDIRECT("BASE_PRICES!D15"),MOD(G16,INDIRECT("BASE_PRICES!E15"))=0))</formula1>
    </dataValidation>
    <dataValidation type="custom" showErrorMessage="1" errorTitle="Invalid input" error="Select an available option or enter a valid quantity." sqref="G17" xr:uid="{00000000-0002-0000-0000-00000E000000}">
      <formula1>OR(G17=0,AND(ISNUMBER(G17),G17&gt;=INDIRECT("BASE_PRICES!D16"),MOD(G17,INDIRECT("BASE_PRICES!E16"))=0))</formula1>
    </dataValidation>
    <dataValidation type="custom" showErrorMessage="1" errorTitle="Invalid input" error="Select an available option or enter a valid quantity." sqref="G18" xr:uid="{00000000-0002-0000-0000-00000F000000}">
      <formula1>OR(G18=0,AND(ISNUMBER(G18),G18&gt;=INDIRECT("BASE_PRICES!D17"),MOD(G18,INDIRECT("BASE_PRICES!E17"))=0))</formula1>
    </dataValidation>
    <dataValidation type="custom" showErrorMessage="1" errorTitle="Invalid input" error="Select an available option or enter a valid quantity." sqref="G19" xr:uid="{00000000-0002-0000-0000-000010000000}">
      <formula1>OR(G19=0,AND(ISNUMBER(G19),G19&gt;=INDIRECT("BASE_PRICES!D18"),MOD(G19,INDIRECT("BASE_PRICES!E18"))=0))</formula1>
    </dataValidation>
    <dataValidation type="custom" showErrorMessage="1" errorTitle="Invalid input" error="Select an available option or enter a valid quantity." sqref="G20" xr:uid="{00000000-0002-0000-0000-000011000000}">
      <formula1>OR(G20=0,AND(ISNUMBER(G20),G20&gt;=INDIRECT("BASE_PRICES!D19"),MOD(G20,INDIRECT("BASE_PRICES!E19"))=0))</formula1>
    </dataValidation>
    <dataValidation type="custom" showErrorMessage="1" errorTitle="Invalid input" error="Select an available option or enter a valid quantity." sqref="G21" xr:uid="{00000000-0002-0000-0000-000012000000}">
      <formula1>OR(G21=0,AND(ISNUMBER(G21),G21&gt;=INDIRECT("BASE_PRICES!D20"),MOD(G21,INDIRECT("BASE_PRICES!E20"))=0))</formula1>
    </dataValidation>
    <dataValidation type="custom" showErrorMessage="1" errorTitle="Invalid input" error="Select an available option or enter a valid quantity." sqref="G22" xr:uid="{00000000-0002-0000-0000-000013000000}">
      <formula1>OR(G22=0,AND(ISNUMBER(G22),G22&gt;=INDIRECT("BASE_PRICES!D21"),MOD(G22,INDIRECT("BASE_PRICES!E21"))=0))</formula1>
    </dataValidation>
    <dataValidation type="custom" showErrorMessage="1" errorTitle="Invalid input" error="Select an available option or enter a valid quantity." sqref="G23" xr:uid="{00000000-0002-0000-0000-000014000000}">
      <formula1>OR(G23=0,AND(ISNUMBER(G23),G23&gt;=INDIRECT("BASE_PRICES!D22"),MOD(G23,INDIRECT("BASE_PRICES!E22"))=0))</formula1>
    </dataValidation>
    <dataValidation type="custom" showErrorMessage="1" errorTitle="Invalid input" error="Select an available option or enter a valid quantity." sqref="G24" xr:uid="{00000000-0002-0000-0000-000015000000}">
      <formula1>OR(G24=0,AND(ISNUMBER(G24),G24&gt;=INDIRECT("BASE_PRICES!D23"),MOD(G24,INDIRECT("BASE_PRICES!E23"))=0))</formula1>
    </dataValidation>
    <dataValidation type="custom" showErrorMessage="1" errorTitle="Invalid input" error="Select an available option or enter a valid quantity." sqref="G25" xr:uid="{00000000-0002-0000-0000-000016000000}">
      <formula1>OR(G25=0,AND(ISNUMBER(G25),G25&gt;=INDIRECT("BASE_PRICES!D24"),MOD(G25,INDIRECT("BASE_PRICES!E24"))=0))</formula1>
    </dataValidation>
    <dataValidation type="custom" showErrorMessage="1" errorTitle="Invalid input" error="Select an available option or enter a valid quantity." sqref="G26" xr:uid="{00000000-0002-0000-0000-000017000000}">
      <formula1>OR(G26=0,AND(ISNUMBER(G26),G26&gt;=INDIRECT("BASE_PRICES!D25"),MOD(G26,INDIRECT("BASE_PRICES!E25"))=0))</formula1>
    </dataValidation>
    <dataValidation type="custom" showErrorMessage="1" errorTitle="Invalid input" error="Select an available option or enter a valid quantity." sqref="G27" xr:uid="{00000000-0002-0000-0000-000018000000}">
      <formula1>OR(G27=0,AND(ISNUMBER(G27),G27&gt;=INDIRECT("BASE_PRICES!D26"),MOD(G27,INDIRECT("BASE_PRICES!E26"))=0))</formula1>
    </dataValidation>
    <dataValidation type="custom" showErrorMessage="1" errorTitle="Invalid input" error="Select an available option or enter a valid quantity." sqref="G28" xr:uid="{00000000-0002-0000-0000-000019000000}">
      <formula1>OR(G28=0,AND(ISNUMBER(G28),G28&gt;=INDIRECT("BASE_PRICES!D27"),MOD(G28,INDIRECT("BASE_PRICES!E27"))=0))</formula1>
    </dataValidation>
    <dataValidation type="custom" showErrorMessage="1" errorTitle="Invalid input" error="Select an available option or enter a valid quantity." sqref="G29" xr:uid="{00000000-0002-0000-0000-00001A000000}">
      <formula1>OR(G29=0,AND(ISNUMBER(G29),G29&gt;=INDIRECT("BASE_PRICES!D28"),MOD(G29,INDIRECT("BASE_PRICES!E28"))=0))</formula1>
    </dataValidation>
    <dataValidation type="custom" showErrorMessage="1" errorTitle="Invalid input" error="Select an available option or enter a valid quantity." sqref="G30" xr:uid="{00000000-0002-0000-0000-00001B000000}">
      <formula1>OR(G30=0,AND(ISNUMBER(G30),G30&gt;=INDIRECT("BASE_PRICES!D29"),MOD(G30,INDIRECT("BASE_PRICES!E29"))=0))</formula1>
    </dataValidation>
    <dataValidation type="custom" showErrorMessage="1" errorTitle="Invalid input" error="Select an available option or enter a valid quantity." sqref="G31" xr:uid="{00000000-0002-0000-0000-00001C000000}">
      <formula1>OR(G31=0,AND(ISNUMBER(G31),G31&gt;=INDIRECT("BASE_PRICES!D30"),MOD(G31,INDIRECT("BASE_PRICES!E30"))=0))</formula1>
    </dataValidation>
    <dataValidation type="custom" showErrorMessage="1" errorTitle="Invalid input" error="Select an available option or enter a valid quantity." sqref="G32" xr:uid="{00000000-0002-0000-0000-00001D000000}">
      <formula1>OR(G32=0,AND(ISNUMBER(G32),G32&gt;=INDIRECT("BASE_PRICES!D31"),MOD(G32,INDIRECT("BASE_PRICES!E31"))=0))</formula1>
    </dataValidation>
    <dataValidation type="custom" showErrorMessage="1" errorTitle="Invalid input" error="Select an available option or enter a valid quantity." sqref="G33" xr:uid="{00000000-0002-0000-0000-00001E000000}">
      <formula1>OR(G33=0,AND(ISNUMBER(G33),G33&gt;=INDIRECT("BASE_PRICES!D32"),MOD(G33,INDIRECT("BASE_PRICES!E32"))=0))</formula1>
    </dataValidation>
    <dataValidation type="custom" showErrorMessage="1" errorTitle="Invalid input" error="Select an available option or enter a valid quantity." sqref="G34" xr:uid="{00000000-0002-0000-0000-00001F000000}">
      <formula1>OR(G34=0,AND(ISNUMBER(G34),G34&gt;=INDIRECT("BASE_PRICES!D33"),MOD(G34,INDIRECT("BASE_PRICES!E33"))=0))</formula1>
    </dataValidation>
    <dataValidation type="custom" showErrorMessage="1" errorTitle="Invalid input" error="Select an available option or enter a valid quantity." sqref="G35" xr:uid="{00000000-0002-0000-0000-000020000000}">
      <formula1>OR(G35=0,AND(ISNUMBER(G35),G35&gt;=INDIRECT("BASE_PRICES!D34"),MOD(G35,INDIRECT("BASE_PRICES!E34"))=0))</formula1>
    </dataValidation>
    <dataValidation type="custom" showErrorMessage="1" errorTitle="Invalid input" error="Select an available option or enter a valid quantity." sqref="G36" xr:uid="{00000000-0002-0000-0000-000021000000}">
      <formula1>OR(G36=0,AND(ISNUMBER(G36),G36&gt;=INDIRECT("BASE_PRICES!D35"),MOD(G36,INDIRECT("BASE_PRICES!E35"))=0))</formula1>
    </dataValidation>
    <dataValidation type="custom" showErrorMessage="1" errorTitle="Invalid input" error="Select an available option or enter a valid quantity." sqref="G37" xr:uid="{00000000-0002-0000-0000-000022000000}">
      <formula1>OR(G37=0,AND(ISNUMBER(G37),G37&gt;=INDIRECT("BASE_PRICES!D36"),MOD(G37,INDIRECT("BASE_PRICES!E36"))=0))</formula1>
    </dataValidation>
    <dataValidation type="custom" showErrorMessage="1" errorTitle="Invalid input" error="Select an available option or enter a valid quantity." sqref="G38" xr:uid="{00000000-0002-0000-0000-000023000000}">
      <formula1>OR(G38=0,AND(ISNUMBER(G38),G38&gt;=INDIRECT("BASE_PRICES!D37"),MOD(G38,INDIRECT("BASE_PRICES!E37"))=0))</formula1>
    </dataValidation>
    <dataValidation type="custom" showErrorMessage="1" errorTitle="Invalid input" error="Select an available option or enter a valid quantity." sqref="G39" xr:uid="{00000000-0002-0000-0000-000024000000}">
      <formula1>OR(G39=0,AND(ISNUMBER(G39),G39&gt;=INDIRECT("BASE_PRICES!D38"),MOD(G39,INDIRECT("BASE_PRICES!E38"))=0))</formula1>
    </dataValidation>
    <dataValidation type="custom" showErrorMessage="1" errorTitle="Invalid input" error="Select an available option or enter a valid quantity." sqref="G40" xr:uid="{00000000-0002-0000-0000-000025000000}">
      <formula1>OR(G40=0,AND(ISNUMBER(G40),G40&gt;=INDIRECT("BASE_PRICES!D39"),MOD(G40,INDIRECT("BASE_PRICES!E39"))=0))</formula1>
    </dataValidation>
    <dataValidation type="custom" showErrorMessage="1" errorTitle="Invalid input" error="Select an available option or enter a valid quantity." sqref="G41" xr:uid="{00000000-0002-0000-0000-000026000000}">
      <formula1>OR(G41=0,AND(ISNUMBER(G41),G41&gt;=INDIRECT("BASE_PRICES!D40"),MOD(G41,INDIRECT("BASE_PRICES!E40"))=0))</formula1>
    </dataValidation>
    <dataValidation type="custom" showErrorMessage="1" errorTitle="Invalid input" error="Select an available option or enter a valid quantity." sqref="G42" xr:uid="{00000000-0002-0000-0000-000027000000}">
      <formula1>OR(G42=0,AND(ISNUMBER(G42),G42&gt;=INDIRECT("BASE_PRICES!D41"),MOD(G42,INDIRECT("BASE_PRICES!E41"))=0))</formula1>
    </dataValidation>
    <dataValidation type="custom" showErrorMessage="1" errorTitle="Invalid input" error="Select an available option or enter a valid quantity." sqref="G43" xr:uid="{00000000-0002-0000-0000-000028000000}">
      <formula1>OR(G43=0,AND(ISNUMBER(G43),G43&gt;=INDIRECT("BASE_PRICES!D42"),MOD(G43,INDIRECT("BASE_PRICES!E42"))=0))</formula1>
    </dataValidation>
    <dataValidation type="custom" showErrorMessage="1" errorTitle="Invalid input" error="Select an available option or enter a valid quantity." sqref="G44" xr:uid="{00000000-0002-0000-0000-000029000000}">
      <formula1>OR(G44=0,AND(ISNUMBER(G44),G44&gt;=INDIRECT("BASE_PRICES!D43"),MOD(G44,INDIRECT("BASE_PRICES!E43"))=0))</formula1>
    </dataValidation>
    <dataValidation type="custom" showErrorMessage="1" errorTitle="Invalid input" error="Select an available option or enter a valid quantity." sqref="G45" xr:uid="{00000000-0002-0000-0000-00002A000000}">
      <formula1>OR(G45=0,AND(ISNUMBER(G45),G45&gt;=INDIRECT("BASE_PRICES!D44"),MOD(G45,INDIRECT("BASE_PRICES!E44"))=0))</formula1>
    </dataValidation>
    <dataValidation type="custom" showErrorMessage="1" errorTitle="Invalid input" error="Select an available option or enter a valid quantity." sqref="G46" xr:uid="{00000000-0002-0000-0000-00002B000000}">
      <formula1>OR(G46=0,AND(ISNUMBER(G46),G46&gt;=INDIRECT("BASE_PRICES!D45"),MOD(G46,INDIRECT("BASE_PRICES!E45"))=0))</formula1>
    </dataValidation>
    <dataValidation type="custom" showErrorMessage="1" errorTitle="Invalid input" error="Select an available option or enter a valid quantity." sqref="G47" xr:uid="{00000000-0002-0000-0000-00002C000000}">
      <formula1>OR(G47=0,AND(ISNUMBER(G47),G47&gt;=INDIRECT("BASE_PRICES!D46"),MOD(G47,INDIRECT("BASE_PRICES!E46"))=0))</formula1>
    </dataValidation>
    <dataValidation type="custom" showErrorMessage="1" errorTitle="Invalid input" error="Select an available option or enter a valid quantity." sqref="G48" xr:uid="{00000000-0002-0000-0000-00002D000000}">
      <formula1>OR(G48=0,AND(ISNUMBER(G48),G48&gt;=INDIRECT("BASE_PRICES!D47"),MOD(G48,INDIRECT("BASE_PRICES!E47"))=0))</formula1>
    </dataValidation>
    <dataValidation type="custom" showErrorMessage="1" errorTitle="Invalid input" error="Select an available option or enter a valid quantity." sqref="G49" xr:uid="{00000000-0002-0000-0000-00002E000000}">
      <formula1>OR(G49=0,AND(ISNUMBER(G49),G49&gt;=INDIRECT("BASE_PRICES!D48"),MOD(G49,INDIRECT("BASE_PRICES!E48"))=0))</formula1>
    </dataValidation>
    <dataValidation type="custom" showErrorMessage="1" errorTitle="Invalid input" error="Select an available option or enter a valid quantity." sqref="G50" xr:uid="{00000000-0002-0000-0000-00002F000000}">
      <formula1>OR(G50=0,AND(ISNUMBER(G50),G50&gt;=INDIRECT("BASE_PRICES!D49"),MOD(G50,INDIRECT("BASE_PRICES!E49"))=0))</formula1>
    </dataValidation>
    <dataValidation type="custom" showErrorMessage="1" errorTitle="Invalid input" error="Select an available option or enter a valid quantity." sqref="G51" xr:uid="{00000000-0002-0000-0000-000030000000}">
      <formula1>OR(G51=0,AND(ISNUMBER(G51),G51&gt;=INDIRECT("BASE_PRICES!D50"),MOD(G51,INDIRECT("BASE_PRICES!E50"))=0))</formula1>
    </dataValidation>
    <dataValidation type="custom" showErrorMessage="1" errorTitle="Invalid input" error="Select an available option or enter a valid quantity." sqref="G52" xr:uid="{00000000-0002-0000-0000-000031000000}">
      <formula1>OR(G52=0,AND(ISNUMBER(G52),G52&gt;=INDIRECT("BASE_PRICES!D51"),MOD(G52,INDIRECT("BASE_PRICES!E51"))=0))</formula1>
    </dataValidation>
    <dataValidation type="custom" showErrorMessage="1" errorTitle="Invalid input" error="Select an available option or enter a valid quantity." sqref="G53" xr:uid="{00000000-0002-0000-0000-000032000000}">
      <formula1>OR(G53=0,AND(ISNUMBER(G53),G53&gt;=INDIRECT("BASE_PRICES!D52"),MOD(G53,INDIRECT("BASE_PRICES!E52"))=0))</formula1>
    </dataValidation>
    <dataValidation type="custom" showErrorMessage="1" errorTitle="Invalid input" error="Select an available option or enter a valid quantity." sqref="G54" xr:uid="{00000000-0002-0000-0000-000033000000}">
      <formula1>OR(G54=0,AND(ISNUMBER(G54),G54&gt;=INDIRECT("BASE_PRICES!D53"),MOD(G54,INDIRECT("BASE_PRICES!E53"))=0))</formula1>
    </dataValidation>
    <dataValidation type="custom" showErrorMessage="1" errorTitle="Invalid input" error="Select an available option or enter a valid quantity." sqref="G55" xr:uid="{00000000-0002-0000-0000-000034000000}">
      <formula1>OR(G55=0,AND(ISNUMBER(G55),G55&gt;=INDIRECT("BASE_PRICES!D54"),MOD(G55,INDIRECT("BASE_PRICES!E54"))=0))</formula1>
    </dataValidation>
    <dataValidation type="custom" showErrorMessage="1" errorTitle="Invalid input" error="Select an available option or enter a valid quantity." sqref="G56" xr:uid="{00000000-0002-0000-0000-000035000000}">
      <formula1>OR(G56=0,AND(ISNUMBER(G56),G56&gt;=INDIRECT("BASE_PRICES!D55"),MOD(G56,INDIRECT("BASE_PRICES!E55"))=0))</formula1>
    </dataValidation>
    <dataValidation type="custom" showErrorMessage="1" errorTitle="Invalid input" error="Select an available option or enter a valid quantity." sqref="G57" xr:uid="{00000000-0002-0000-0000-000036000000}">
      <formula1>OR(G57=0,AND(ISNUMBER(G57),G57&gt;=INDIRECT("BASE_PRICES!D56"),MOD(G57,INDIRECT("BASE_PRICES!E56"))=0))</formula1>
    </dataValidation>
    <dataValidation type="custom" showErrorMessage="1" errorTitle="Invalid input" error="Select an available option or enter a valid quantity." sqref="G58" xr:uid="{00000000-0002-0000-0000-000037000000}">
      <formula1>OR(G58=0,AND(ISNUMBER(G58),G58&gt;=INDIRECT("BASE_PRICES!D57"),MOD(G58,INDIRECT("BASE_PRICES!E57"))=0))</formula1>
    </dataValidation>
  </dataValidations>
  <hyperlinks>
    <hyperlink ref="K6" r:id="rId1" xr:uid="{00000000-0004-0000-0000-000000000000}"/>
    <hyperlink ref="K7" r:id="rId2" xr:uid="{00000000-0004-0000-0000-000001000000}"/>
    <hyperlink ref="K8" r:id="rId3" xr:uid="{00000000-0004-0000-0000-000002000000}"/>
    <hyperlink ref="K9" r:id="rId4" xr:uid="{00000000-0004-0000-0000-000003000000}"/>
    <hyperlink ref="K10" r:id="rId5" xr:uid="{00000000-0004-0000-0000-000004000000}"/>
    <hyperlink ref="K11" r:id="rId6" xr:uid="{00000000-0004-0000-0000-000005000000}"/>
    <hyperlink ref="K12" r:id="rId7" xr:uid="{00000000-0004-0000-0000-000006000000}"/>
    <hyperlink ref="K13" r:id="rId8" xr:uid="{00000000-0004-0000-0000-000007000000}"/>
    <hyperlink ref="K14" r:id="rId9" xr:uid="{00000000-0004-0000-0000-000008000000}"/>
    <hyperlink ref="K15" r:id="rId10" xr:uid="{00000000-0004-0000-0000-000009000000}"/>
    <hyperlink ref="K16" r:id="rId11" xr:uid="{00000000-0004-0000-0000-00000A000000}"/>
    <hyperlink ref="K17" r:id="rId12" xr:uid="{00000000-0004-0000-0000-00000B000000}"/>
    <hyperlink ref="K18" r:id="rId13" xr:uid="{00000000-0004-0000-0000-00000C000000}"/>
    <hyperlink ref="K19" r:id="rId14" xr:uid="{00000000-0004-0000-0000-00000D000000}"/>
    <hyperlink ref="K20" r:id="rId15" xr:uid="{00000000-0004-0000-0000-00000E000000}"/>
    <hyperlink ref="K21" r:id="rId16" xr:uid="{00000000-0004-0000-0000-00000F000000}"/>
    <hyperlink ref="K22" r:id="rId17" xr:uid="{00000000-0004-0000-0000-000010000000}"/>
    <hyperlink ref="K23" r:id="rId18" xr:uid="{00000000-0004-0000-0000-000011000000}"/>
    <hyperlink ref="K24" r:id="rId19" xr:uid="{00000000-0004-0000-0000-000012000000}"/>
    <hyperlink ref="K25" r:id="rId20" xr:uid="{00000000-0004-0000-0000-000013000000}"/>
    <hyperlink ref="K26" r:id="rId21" xr:uid="{00000000-0004-0000-0000-000014000000}"/>
    <hyperlink ref="K27" r:id="rId22" xr:uid="{00000000-0004-0000-0000-000015000000}"/>
    <hyperlink ref="K28" r:id="rId23" xr:uid="{00000000-0004-0000-0000-000016000000}"/>
    <hyperlink ref="K29" r:id="rId24" xr:uid="{00000000-0004-0000-0000-000017000000}"/>
    <hyperlink ref="K30" r:id="rId25" xr:uid="{00000000-0004-0000-0000-000018000000}"/>
    <hyperlink ref="K31" r:id="rId26" xr:uid="{00000000-0004-0000-0000-000019000000}"/>
    <hyperlink ref="K32" r:id="rId27" xr:uid="{00000000-0004-0000-0000-00001A000000}"/>
    <hyperlink ref="K33" r:id="rId28" xr:uid="{00000000-0004-0000-0000-00001B000000}"/>
    <hyperlink ref="K34" r:id="rId29" xr:uid="{00000000-0004-0000-0000-00001C000000}"/>
    <hyperlink ref="K35" r:id="rId30" xr:uid="{00000000-0004-0000-0000-00001D000000}"/>
    <hyperlink ref="K36" r:id="rId31" xr:uid="{00000000-0004-0000-0000-00001E000000}"/>
    <hyperlink ref="K37" r:id="rId32" xr:uid="{00000000-0004-0000-0000-00001F000000}"/>
    <hyperlink ref="K38" r:id="rId33" xr:uid="{00000000-0004-0000-0000-000020000000}"/>
    <hyperlink ref="K39" r:id="rId34" xr:uid="{00000000-0004-0000-0000-000021000000}"/>
    <hyperlink ref="K40" r:id="rId35" xr:uid="{00000000-0004-0000-0000-000022000000}"/>
    <hyperlink ref="K41" r:id="rId36" xr:uid="{00000000-0004-0000-0000-000023000000}"/>
    <hyperlink ref="K42" r:id="rId37" xr:uid="{00000000-0004-0000-0000-000024000000}"/>
    <hyperlink ref="K43" r:id="rId38" xr:uid="{00000000-0004-0000-0000-000025000000}"/>
    <hyperlink ref="K44" r:id="rId39" xr:uid="{00000000-0004-0000-0000-000026000000}"/>
    <hyperlink ref="K45" r:id="rId40" xr:uid="{00000000-0004-0000-0000-000027000000}"/>
    <hyperlink ref="K46" r:id="rId41" xr:uid="{00000000-0004-0000-0000-000028000000}"/>
    <hyperlink ref="K47" r:id="rId42" xr:uid="{00000000-0004-0000-0000-000029000000}"/>
    <hyperlink ref="K48" r:id="rId43" xr:uid="{00000000-0004-0000-0000-00002A000000}"/>
    <hyperlink ref="K49" r:id="rId44" xr:uid="{00000000-0004-0000-0000-00002B000000}"/>
    <hyperlink ref="K50" r:id="rId45" xr:uid="{00000000-0004-0000-0000-00002C000000}"/>
    <hyperlink ref="K51" r:id="rId46" xr:uid="{00000000-0004-0000-0000-00002D000000}"/>
    <hyperlink ref="K52" r:id="rId47" xr:uid="{00000000-0004-0000-0000-00002E000000}"/>
    <hyperlink ref="K53" r:id="rId48" xr:uid="{00000000-0004-0000-0000-00002F000000}"/>
    <hyperlink ref="K54" r:id="rId49" xr:uid="{00000000-0004-0000-0000-000030000000}"/>
    <hyperlink ref="K55" r:id="rId50" xr:uid="{00000000-0004-0000-0000-000031000000}"/>
    <hyperlink ref="K56" r:id="rId51" xr:uid="{00000000-0004-0000-0000-000032000000}"/>
    <hyperlink ref="K57" r:id="rId52" xr:uid="{00000000-0004-0000-0000-000033000000}"/>
    <hyperlink ref="K58" r:id="rId53" xr:uid="{00000000-0004-0000-0000-000034000000}"/>
  </hyperlinks>
  <pageMargins left="0.7" right="0.7" top="0.75" bottom="0.75" header="0.511811023622047" footer="0.511811023622047"/>
  <pageSetup paperSize="9" orientation="portrait" horizontalDpi="300" verticalDpi="300" r:id="rId5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64D42"/>
  </sheetPr>
  <dimension ref="A1:Q67"/>
  <sheetViews>
    <sheetView showGridLines="0" zoomScale="85" zoomScaleNormal="90" workbookViewId="0">
      <selection activeCell="B2" sqref="B2"/>
    </sheetView>
  </sheetViews>
  <sheetFormatPr defaultColWidth="8.3828125" defaultRowHeight="12.45"/>
  <cols>
    <col min="1" max="1" width="35" customWidth="1"/>
    <col min="2" max="2" width="20" customWidth="1"/>
    <col min="3" max="4" width="15" customWidth="1"/>
    <col min="5" max="5" width="10" customWidth="1"/>
    <col min="6" max="6" width="25" customWidth="1"/>
    <col min="7" max="7" width="12" customWidth="1"/>
    <col min="8" max="8" width="15" hidden="1" customWidth="1"/>
  </cols>
  <sheetData>
    <row r="1" spans="1:17" ht="23.05" customHeight="1">
      <c r="A1" s="63" t="str">
        <f>CHOOSE(DETAILS!$B$2,"Dane zamawiającego","Customer details","Kundendaten","Coordonnées du client","Datos del cliente","Dati del cliente","Údaje zákazníka","Údaje zákazníka")</f>
        <v>Customer details</v>
      </c>
      <c r="B1" s="64"/>
      <c r="C1" s="64"/>
      <c r="D1" s="64"/>
      <c r="E1" s="64"/>
      <c r="F1" s="64"/>
      <c r="G1" s="2"/>
      <c r="H1" s="2"/>
      <c r="I1" s="2"/>
      <c r="J1" s="2"/>
      <c r="K1" s="2"/>
      <c r="L1" s="2"/>
      <c r="M1" s="2"/>
      <c r="N1" s="2"/>
      <c r="O1" s="2"/>
      <c r="P1" s="2"/>
      <c r="Q1" s="2"/>
    </row>
    <row r="2" spans="1:17" ht="23.05" hidden="1" customHeight="1">
      <c r="A2" s="21" t="s">
        <v>25</v>
      </c>
      <c r="B2" s="21">
        <f>MATCH(ORDER!$B$2,$H$35:$H$42,0)</f>
        <v>2</v>
      </c>
      <c r="C2" s="1"/>
      <c r="D2" s="1"/>
      <c r="E2" s="1"/>
      <c r="F2" s="1"/>
      <c r="G2" s="2"/>
      <c r="H2" s="2"/>
      <c r="I2" s="2"/>
      <c r="J2" s="2"/>
      <c r="K2" s="2"/>
      <c r="L2" s="2"/>
      <c r="M2" s="2"/>
      <c r="N2" s="2"/>
      <c r="O2" s="2"/>
      <c r="P2" s="2"/>
      <c r="Q2" s="2"/>
    </row>
    <row r="3" spans="1:17" ht="23.05" customHeight="1">
      <c r="A3" s="1"/>
      <c r="B3" s="1"/>
      <c r="C3" s="1"/>
      <c r="D3" s="1"/>
      <c r="E3" s="1"/>
      <c r="F3" s="1"/>
      <c r="G3" s="2"/>
      <c r="H3" s="2"/>
      <c r="I3" s="2"/>
      <c r="J3" s="2"/>
      <c r="K3" s="2"/>
      <c r="L3" s="2"/>
      <c r="M3" s="2"/>
      <c r="N3" s="2"/>
      <c r="O3" s="2"/>
      <c r="P3" s="2"/>
      <c r="Q3" s="2"/>
    </row>
    <row r="4" spans="1:17" ht="23.05" customHeight="1">
      <c r="A4" s="21" t="str">
        <f>CHOOSE(DETAILS!$B$2,"Firma / sklep","Company / shop","Firma / Geschäft","Entreprise / boutique","Empresa / tienda","Azienda / negozio","Firma / obchod","Firma / obchod")</f>
        <v>Company / shop</v>
      </c>
      <c r="B4" s="65"/>
      <c r="C4" s="65"/>
      <c r="D4" s="65"/>
      <c r="E4" s="65"/>
      <c r="F4" s="65"/>
      <c r="G4" s="2"/>
      <c r="H4" s="2"/>
      <c r="I4" s="2"/>
      <c r="J4" s="2"/>
      <c r="K4" s="2"/>
      <c r="L4" s="2"/>
      <c r="M4" s="2"/>
      <c r="N4" s="2"/>
      <c r="O4" s="2"/>
      <c r="P4" s="2"/>
      <c r="Q4" s="2"/>
    </row>
    <row r="5" spans="1:17" ht="23.05" customHeight="1">
      <c r="A5" s="21" t="str">
        <f>CHOOSE(DETAILS!$B$2,"NIP / VAT ID","Tax / VAT ID","Steuer- / USt-IdNr.","N° fiscal / TVA","NIF / IVA","Codice fiscale / partita IVA","Daňové číslo / DIČ","Daňové číslo / IČ DPH")</f>
        <v>Tax / VAT ID</v>
      </c>
      <c r="B5" s="65"/>
      <c r="C5" s="65"/>
      <c r="D5" s="65"/>
      <c r="E5" s="65"/>
      <c r="F5" s="65"/>
      <c r="G5" s="2"/>
      <c r="H5" s="2"/>
      <c r="I5" s="2"/>
      <c r="J5" s="2"/>
      <c r="K5" s="2"/>
      <c r="L5" s="2"/>
      <c r="M5" s="2"/>
      <c r="N5" s="2"/>
      <c r="O5" s="2"/>
      <c r="P5" s="2"/>
      <c r="Q5" s="2"/>
    </row>
    <row r="6" spans="1:17" ht="23.05" customHeight="1">
      <c r="A6" s="21" t="str">
        <f>CHOOSE(DETAILS!$B$2,"Osoba kontaktowa","Contact person","Ansprechperson","Personne à contacter","Persona de contacto","Persona di contatto","Kontaktní osoba","Kontaktná osoba")</f>
        <v>Contact person</v>
      </c>
      <c r="B6" s="65"/>
      <c r="C6" s="65"/>
      <c r="D6" s="65"/>
      <c r="E6" s="65"/>
      <c r="F6" s="65"/>
      <c r="G6" s="2"/>
      <c r="H6" s="2"/>
      <c r="I6" s="2"/>
      <c r="J6" s="2"/>
      <c r="K6" s="2"/>
      <c r="L6" s="2"/>
      <c r="M6" s="2"/>
      <c r="N6" s="2"/>
      <c r="O6" s="2"/>
      <c r="P6" s="2"/>
      <c r="Q6" s="2"/>
    </row>
    <row r="7" spans="1:17" ht="23.05" customHeight="1">
      <c r="A7" s="21" t="str">
        <f>CHOOSE(DETAILS!$B$2,"E-mail / telefon","Email / phone","E-Mail / Telefon","E-mail / téléphone","Correo / teléfono","E-mail / telefono","E-mail / telefon","E-mail / telefón")</f>
        <v>Email / phone</v>
      </c>
      <c r="B7" s="65"/>
      <c r="C7" s="65"/>
      <c r="D7" s="65"/>
      <c r="E7" s="65"/>
      <c r="F7" s="65"/>
      <c r="G7" s="2"/>
      <c r="H7" s="2"/>
      <c r="I7" s="2"/>
      <c r="J7" s="2"/>
      <c r="K7" s="2"/>
      <c r="L7" s="2"/>
      <c r="M7" s="2"/>
      <c r="N7" s="2"/>
      <c r="O7" s="2"/>
      <c r="P7" s="2"/>
      <c r="Q7" s="2"/>
    </row>
    <row r="8" spans="1:17" ht="23.05" customHeight="1">
      <c r="A8" s="21" t="str">
        <f>CHOOSE(DETAILS!$B$2,"Adres dostawy","Delivery address","Lieferadresse","Adresse de livraison","Dirección de entrega","Indirizzo di consegna","Doručovací adresa","Dodacia adresa")</f>
        <v>Delivery address</v>
      </c>
      <c r="B8" s="65"/>
      <c r="C8" s="65"/>
      <c r="D8" s="65"/>
      <c r="E8" s="65"/>
      <c r="F8" s="65"/>
      <c r="G8" s="2"/>
      <c r="H8" s="2"/>
      <c r="I8" s="2"/>
      <c r="J8" s="2"/>
      <c r="K8" s="2"/>
      <c r="L8" s="2"/>
      <c r="M8" s="2"/>
      <c r="N8" s="2"/>
      <c r="O8" s="2"/>
      <c r="P8" s="2"/>
      <c r="Q8" s="2"/>
    </row>
    <row r="9" spans="1:17" ht="23.05" customHeight="1">
      <c r="A9" s="21" t="str">
        <f>CHOOSE(DETAILS!$B$2,"Kraj / kod pocztowy","Country / postal code","Land / Postleitzahl","Pays / code postal","País / código postal","Paese / codice postale","Země / PSČ","Krajina / PSČ")</f>
        <v>Country / postal code</v>
      </c>
      <c r="B9" s="65"/>
      <c r="C9" s="65"/>
      <c r="D9" s="65"/>
      <c r="E9" s="65"/>
      <c r="F9" s="65"/>
      <c r="G9" s="2"/>
      <c r="H9" s="2"/>
      <c r="I9" s="2"/>
      <c r="J9" s="2"/>
      <c r="K9" s="2"/>
      <c r="L9" s="2"/>
      <c r="M9" s="2"/>
      <c r="N9" s="2"/>
      <c r="O9" s="2"/>
      <c r="P9" s="2"/>
      <c r="Q9" s="2"/>
    </row>
    <row r="10" spans="1:17" ht="23.05" customHeight="1">
      <c r="A10" s="21" t="str">
        <f>CHOOSE(DETAILS!$B$2,"Numer zamówienia / uwagi","Order reference / notes","Bestellreferenz / Hinweise","Référence / remarques","Referencia / notas","Riferimento ordine / note","Číslo objednávky / poznámky","Číslo objednávky / poznámky")</f>
        <v>Order reference / notes</v>
      </c>
      <c r="B10" s="65"/>
      <c r="C10" s="65"/>
      <c r="D10" s="65"/>
      <c r="E10" s="65"/>
      <c r="F10" s="65"/>
      <c r="G10" s="2"/>
      <c r="H10" s="2"/>
      <c r="I10" s="2"/>
      <c r="J10" s="2"/>
      <c r="K10" s="2"/>
      <c r="L10" s="2"/>
      <c r="M10" s="2"/>
      <c r="N10" s="2"/>
      <c r="O10" s="2"/>
      <c r="P10" s="2"/>
      <c r="Q10" s="2"/>
    </row>
    <row r="11" spans="1:17" ht="23.05" customHeight="1">
      <c r="A11" s="1"/>
      <c r="B11" s="1"/>
      <c r="C11" s="1"/>
      <c r="D11" s="1"/>
      <c r="E11" s="1"/>
      <c r="F11" s="1"/>
      <c r="G11" s="2"/>
      <c r="H11" s="2"/>
      <c r="I11" s="2"/>
      <c r="J11" s="2"/>
      <c r="K11" s="2"/>
      <c r="L11" s="2"/>
      <c r="M11" s="2"/>
      <c r="N11" s="2"/>
      <c r="O11" s="2"/>
      <c r="P11" s="2"/>
      <c r="Q11" s="2"/>
    </row>
    <row r="12" spans="1:17" ht="23.05" customHeight="1">
      <c r="A12" s="21" t="str">
        <f>CHOOSE(DETAILS!$B$2,"Kontakt dostawcy","Supplier contact","Lieferantenkontakt","Contact fournisseur","Contacto del proveedor","Contatto del fornitore","Kontakt na dodavatele","Kontakt na dodávateľa")</f>
        <v>Supplier contact</v>
      </c>
      <c r="B12" s="66" t="s">
        <v>15</v>
      </c>
      <c r="C12" s="67"/>
      <c r="D12" s="67"/>
      <c r="E12" s="67"/>
      <c r="F12" s="67"/>
      <c r="G12" s="2"/>
      <c r="H12" s="2"/>
      <c r="I12" s="2"/>
      <c r="J12" s="2"/>
      <c r="K12" s="2"/>
      <c r="L12" s="2"/>
      <c r="M12" s="2"/>
      <c r="N12" s="2"/>
      <c r="O12" s="2"/>
      <c r="P12" s="2"/>
      <c r="Q12" s="2"/>
    </row>
    <row r="13" spans="1:17" ht="23.05" customHeight="1">
      <c r="A13" s="1"/>
      <c r="B13" s="66" t="s">
        <v>16</v>
      </c>
      <c r="C13" s="67"/>
      <c r="D13" s="67"/>
      <c r="E13" s="67"/>
      <c r="F13" s="67"/>
      <c r="G13" s="2"/>
      <c r="H13" s="2"/>
      <c r="I13" s="2"/>
      <c r="J13" s="2"/>
      <c r="K13" s="2"/>
      <c r="L13" s="2"/>
      <c r="M13" s="2"/>
      <c r="N13" s="2"/>
      <c r="O13" s="2"/>
      <c r="P13" s="2"/>
      <c r="Q13" s="2"/>
    </row>
    <row r="14" spans="1:17" ht="23.05" customHeight="1">
      <c r="A14" s="68" t="str">
        <f>CHOOSE(DETAILS!$B$2,"Wpisz ilość w żółtej kolumnie G. Zapisz plik i odeślij dostawcy. Link Allegro prowadzi do zdjęć, opisu i opinii.","Enter quantities in yellow column G. Save and return the file to the supplier. Allegro links show photos, details and reviews.","Mengen in die gelbe Spalte G eintragen. Datei speichern und an den Lieferanten zurücksenden. Allegro-Links führen zu Fotos, Details und Bewertungen.","Saisissez les quantités dans la colonne jaune G. Enregistrez et renvoyez le fichier au fournisseur. Les liens Allegro donnent accès aux photos, détails et avis.","Introduzca cantidades en la columna amarilla G. Guarde y devuelva el archivo al proveedor. Los enlaces de Allegro muestran fotos, detalles y reseñas.","Inserire le quantità nella colonna gialla G. Salvare e restituire il file al fornitore. I link Allegro mostrano foto, dettagli e recensioni.","Zadejte množství do žlutého sloupce G. Soubor uložte a odešlete dodavateli. Odkazy Allegro obsahují fotografie, podrobnosti a recenze.","Zadajte množstvá do žltého stĺpca G. Súbor uložte a odošlite dodávateľovi. Odkazy Allegro obsahujú fotografie, podrobnosti a recenzie.")</f>
        <v>Enter quantities in yellow column G. Save and return the file to the supplier. Allegro links show photos, details and reviews.</v>
      </c>
      <c r="B14" s="69"/>
      <c r="C14" s="69"/>
      <c r="D14" s="69"/>
      <c r="E14" s="69"/>
      <c r="F14" s="69"/>
      <c r="G14" s="2"/>
      <c r="H14" s="2"/>
      <c r="I14" s="2"/>
      <c r="J14" s="2"/>
      <c r="K14" s="2"/>
      <c r="L14" s="2"/>
      <c r="M14" s="2"/>
      <c r="N14" s="2"/>
      <c r="O14" s="2"/>
      <c r="P14" s="2"/>
      <c r="Q14" s="2"/>
    </row>
    <row r="15" spans="1:17" ht="23.05" customHeight="1">
      <c r="A15" s="69"/>
      <c r="B15" s="69"/>
      <c r="C15" s="69"/>
      <c r="D15" s="69"/>
      <c r="E15" s="69"/>
      <c r="F15" s="69"/>
      <c r="G15" s="2"/>
      <c r="H15" s="2"/>
      <c r="I15" s="2"/>
      <c r="J15" s="2"/>
      <c r="K15" s="2"/>
      <c r="L15" s="2"/>
      <c r="M15" s="2"/>
      <c r="N15" s="2"/>
      <c r="O15" s="2"/>
      <c r="P15" s="2"/>
      <c r="Q15" s="2"/>
    </row>
    <row r="16" spans="1:17" ht="23.05" customHeight="1">
      <c r="A16" s="1"/>
      <c r="B16" s="1"/>
      <c r="C16" s="1"/>
      <c r="D16" s="1"/>
      <c r="E16" s="1"/>
      <c r="F16" s="1"/>
      <c r="G16" s="2"/>
      <c r="H16" s="2"/>
      <c r="I16" s="2"/>
      <c r="J16" s="2"/>
      <c r="K16" s="2"/>
      <c r="L16" s="2"/>
      <c r="M16" s="2"/>
      <c r="N16" s="2"/>
      <c r="O16" s="2"/>
      <c r="P16" s="2"/>
      <c r="Q16" s="2"/>
    </row>
    <row r="17" spans="1:17" ht="23.05" customHeight="1">
      <c r="A17" s="68" t="str">
        <f>CHOOSE(DETAILS!$B$2,"Progi na każdy produkt / kolor osobno. 130 × 10 mm: od 10 szt. Ziołowe 60 g: od 5 szt. 260 × 6 mm: od 500 szt., co 20 szt. 500 szt. = 25 pudełek.","Tiers apply separately per product / colour. 130 × 10 mm: minimum 10. Herbal 60 g: minimum 5. 260 × 6 mm: minimum 500, in multiples of 20. 500 candles = 25 boxes.","Staffeln je Produkt / Farbe. 130 × 10 mm: ab 10 Stück. Kräuterkerzen 60 g: ab 5 Stück. 260 × 6 mm: ab 500, in Vielfachen von 20. 500 Kerzen = 25 Schachteln.","Paliers par produit / couleur. 130 × 10 mm : minimum 10. Bougies aux herbes 60 g : minimum 5. 260 × 6 mm : minimum 500, par multiples de 20. 500 bougies = 25 boîtes.","Tramos por producto / color. 130 × 10 mm: mínimo 10. Velas con hierbas de 60 g: mínimo 5. 260 × 6 mm: mínimo 500, en múltiplos de 20. 500 velas = 25 cajas.","Fasce per prodotto / colore. 130 × 10 mm: minimo 10. Candele alle erbe da 60 g: minimo 5. 260 × 6 mm: minimo 500, in multipli di 20. 500 candele = 25 scatole.","Pásma pro každý produkt / barvu. 130 × 10 mm: od 10 ks. Bylinné 60 g: od 5 ks. 260 × 6 mm: od 500 ks, v násobcích 20. 500 svíček = 25 krabiček.","Pásma pre každý produkt / farbu. 130 × 10 mm: od 10 ks. Bylinné 60 g: od 5 ks. 260 × 6 mm: od 500 ks, v násobkoch 20. 500 sviečok = 25 škatuliek.")</f>
        <v>Tiers apply separately per product / colour. 130 × 10 mm: minimum 10. Herbal 60 g: minimum 5. 260 × 6 mm: minimum 500, in multiples of 20. 500 candles = 25 boxes.</v>
      </c>
      <c r="B17" s="69"/>
      <c r="C17" s="69"/>
      <c r="D17" s="69"/>
      <c r="E17" s="69"/>
      <c r="F17" s="69"/>
      <c r="G17" s="2"/>
      <c r="H17" s="2"/>
      <c r="I17" s="2"/>
      <c r="J17" s="2"/>
      <c r="K17" s="2"/>
      <c r="L17" s="2"/>
      <c r="M17" s="2"/>
      <c r="N17" s="2"/>
      <c r="O17" s="2"/>
      <c r="P17" s="2"/>
      <c r="Q17" s="2"/>
    </row>
    <row r="18" spans="1:17" ht="23.05" customHeight="1">
      <c r="A18" s="69"/>
      <c r="B18" s="69"/>
      <c r="C18" s="69"/>
      <c r="D18" s="69"/>
      <c r="E18" s="69"/>
      <c r="F18" s="69"/>
      <c r="G18" s="2"/>
      <c r="H18" s="2"/>
      <c r="I18" s="2"/>
      <c r="J18" s="2"/>
      <c r="K18" s="2"/>
      <c r="L18" s="2"/>
      <c r="M18" s="2"/>
      <c r="N18" s="2"/>
      <c r="O18" s="2"/>
      <c r="P18" s="2"/>
      <c r="Q18" s="2"/>
    </row>
    <row r="19" spans="1:17" ht="23.05" customHeight="1">
      <c r="A19" s="1"/>
      <c r="B19" s="1"/>
      <c r="C19" s="1"/>
      <c r="D19" s="1"/>
      <c r="E19" s="1"/>
      <c r="F19" s="1"/>
      <c r="G19" s="2"/>
      <c r="H19" s="2"/>
      <c r="I19" s="2"/>
      <c r="J19" s="2"/>
      <c r="K19" s="2"/>
      <c r="L19" s="2"/>
      <c r="M19" s="2"/>
      <c r="N19" s="2"/>
      <c r="O19" s="2"/>
      <c r="P19" s="2"/>
      <c r="Q19" s="2"/>
    </row>
    <row r="20" spans="1:17" ht="23.05" customHeight="1">
      <c r="A20" s="68" t="str">
        <f>CHOOSE(DETAILS!$B$2,"Ceny jednostkowe podano z dokładnością do 4 miejsc po przecinku. Wartość każdej pozycji jest zaokrąglana do 2 miejsc po przecinku.","Unit prices are shown to up to 4 decimal places. Each line total is rounded to 2 decimal places.","Einzelpreise werden mit bis zu 4 Nachkommastellen angegeben. Der Gesamtbetrag jeder Position wird auf 2 Nachkommastellen gerundet.","Les prix unitaires sont indiqués avec jusqu’à 4 décimales. Le montant de chaque ligne est arrondi à 2 décimales.","Los precios unitarios se muestran con hasta 4 decimales. El importe de cada línea se redondea a 2 decimales.","Prezzi unitari indicati fino a 4 decimali. Il totale di ogni riga è arrotondato a 2 decimali.","Jednotkové ceny jsou uvedeny až na 4 desetinná místa. Součet každé položky se zaokrouhluje na 2 desetinná místa.","Jednotkové ceny sú uvedené až na 4 desatinné miesta. Suma každej položky sa zaokrúhľuje na 2 desatinné miesta.")</f>
        <v>Unit prices are shown to up to 4 decimal places. Each line total is rounded to 2 decimal places.</v>
      </c>
      <c r="B20" s="69"/>
      <c r="C20" s="69"/>
      <c r="D20" s="69"/>
      <c r="E20" s="69"/>
      <c r="F20" s="69"/>
      <c r="G20" s="2"/>
      <c r="H20" s="2"/>
      <c r="I20" s="2"/>
      <c r="J20" s="2"/>
      <c r="K20" s="2"/>
      <c r="L20" s="2"/>
      <c r="M20" s="2"/>
      <c r="N20" s="2"/>
      <c r="O20" s="2"/>
      <c r="P20" s="2"/>
      <c r="Q20" s="2"/>
    </row>
    <row r="21" spans="1:17" ht="23.05" customHeight="1">
      <c r="A21" s="69"/>
      <c r="B21" s="69"/>
      <c r="C21" s="69"/>
      <c r="D21" s="69"/>
      <c r="E21" s="69"/>
      <c r="F21" s="69"/>
      <c r="G21" s="2"/>
      <c r="H21" s="2"/>
      <c r="I21" s="2"/>
      <c r="J21" s="2"/>
      <c r="K21" s="2"/>
      <c r="L21" s="2"/>
      <c r="M21" s="2"/>
      <c r="N21" s="2"/>
      <c r="O21" s="2"/>
      <c r="P21" s="2"/>
      <c r="Q21" s="2"/>
    </row>
    <row r="22" spans="1:17" ht="23.05" customHeight="1">
      <c r="A22" s="1"/>
      <c r="B22" s="1"/>
      <c r="C22" s="1"/>
      <c r="D22" s="1"/>
      <c r="E22" s="1"/>
      <c r="F22" s="1"/>
      <c r="G22" s="2"/>
      <c r="H22" s="2"/>
      <c r="I22" s="2"/>
      <c r="J22" s="2"/>
      <c r="K22" s="2"/>
      <c r="L22" s="2"/>
      <c r="M22" s="2"/>
      <c r="N22" s="2"/>
      <c r="O22" s="2"/>
      <c r="P22" s="2"/>
      <c r="Q22" s="2"/>
    </row>
    <row r="23" spans="1:17" ht="23.05" customHeight="1">
      <c r="A23" s="68" t="str">
        <f>CHOOSE(DETAILS!$B$2,"Kursy przeliczenia cen","Price conversion rates","Umrechnungskurse","Taux de conversion des prix","Tipos de conversión de precios","Tassi di conversione dei prezzi","Přepočítací kurzy cen","Prepočítacie kurzy cien")</f>
        <v>Price conversion rates</v>
      </c>
      <c r="B23" s="68"/>
      <c r="C23" s="68"/>
      <c r="D23" s="68"/>
      <c r="E23" s="68"/>
      <c r="F23" s="68"/>
      <c r="G23" s="23"/>
      <c r="H23" s="23"/>
      <c r="I23" s="2"/>
      <c r="J23" s="2"/>
      <c r="K23" s="2"/>
      <c r="L23" s="2"/>
      <c r="M23" s="2"/>
      <c r="N23" s="2"/>
      <c r="O23" s="2"/>
      <c r="P23" s="2"/>
      <c r="Q23" s="2"/>
    </row>
    <row r="24" spans="1:17" ht="23.05" customHeight="1">
      <c r="A24" s="57" t="str">
        <f>CHOOSE(DETAILS!$B$2,"Cena nie zależy od języka ani kraju. Zmiana waluty przelicza kwoty po kursach poniżej.","Price does not depend on language or country. Changing currency converts amounts using the rates below.","Der Preis hängt nicht von Sprache oder Land ab. Ein Währungswechsel rechnet die Beträge mit den folgenden Kursen um.","Le prix ne dépend ni de la langue ni du pays. Le changement de devise utilise les taux ci-dessous.","El precio no depende del idioma ni del país. El cambio de moneda utiliza los tipos indicados abajo.","Il prezzo non dipende dalla lingua o dal paese. Il cambio di valuta utilizza i tassi riportati sotto.","Cena nezávisí na jazyku ani zemi. Změna měny přepočte částky podle kurzů níže.","Cena nezávisí od jazyka ani krajiny. Zmena meny prepočíta sumy podľa kurzov nižšie.")</f>
        <v>Price does not depend on language or country. Changing currency converts amounts using the rates below.</v>
      </c>
      <c r="B24" s="71"/>
      <c r="C24" s="57"/>
      <c r="D24" s="57"/>
      <c r="E24" s="57"/>
      <c r="F24" s="57"/>
      <c r="G24" s="23"/>
      <c r="H24" s="23"/>
      <c r="I24" s="2"/>
      <c r="J24" s="2"/>
      <c r="K24" s="2"/>
      <c r="L24" s="2"/>
      <c r="M24" s="2"/>
      <c r="N24" s="2"/>
      <c r="O24" s="2"/>
      <c r="P24" s="2"/>
      <c r="Q24" s="2"/>
    </row>
    <row r="25" spans="1:17" ht="23.05" customHeight="1">
      <c r="A25" s="57"/>
      <c r="B25" s="71"/>
      <c r="C25" s="57"/>
      <c r="D25" s="57"/>
      <c r="E25" s="57"/>
      <c r="F25" s="57"/>
      <c r="G25" s="23"/>
      <c r="H25" s="23"/>
      <c r="I25" s="2"/>
      <c r="J25" s="2"/>
      <c r="K25" s="2"/>
      <c r="L25" s="2"/>
      <c r="M25" s="2"/>
      <c r="N25" s="2"/>
      <c r="O25" s="2"/>
      <c r="P25" s="2"/>
      <c r="Q25" s="2"/>
    </row>
    <row r="26" spans="1:17" ht="23.05" hidden="1" customHeight="1">
      <c r="A26" s="21"/>
      <c r="B26" s="21">
        <f>VLOOKUP($B$27,$A$35:$B$45,2,FALSE)</f>
        <v>1</v>
      </c>
      <c r="C26" s="21"/>
      <c r="D26" s="21"/>
      <c r="E26" s="21"/>
      <c r="F26" s="21"/>
      <c r="G26" s="23"/>
      <c r="H26" s="23"/>
      <c r="I26" s="2"/>
      <c r="J26" s="2"/>
      <c r="K26" s="2"/>
      <c r="L26" s="2"/>
      <c r="M26" s="2"/>
      <c r="N26" s="2"/>
      <c r="O26" s="2"/>
      <c r="P26" s="2"/>
      <c r="Q26" s="2"/>
    </row>
    <row r="27" spans="1:17" ht="23.05" hidden="1" customHeight="1">
      <c r="A27" s="21"/>
      <c r="B27" s="21" t="str">
        <f>IF(ORDER!$F$2="AUTO",VLOOKUP(ORDER!$D$2,$E$35:$G$66,3,FALSE),ORDER!$F$2)</f>
        <v>PLN</v>
      </c>
      <c r="C27" s="21"/>
      <c r="D27" s="21"/>
      <c r="E27" s="21"/>
      <c r="F27" s="21"/>
      <c r="G27" s="23"/>
      <c r="H27" s="23"/>
      <c r="I27" s="2"/>
      <c r="J27" s="2"/>
      <c r="K27" s="2"/>
      <c r="L27" s="2"/>
      <c r="M27" s="2"/>
      <c r="N27" s="2"/>
      <c r="O27" s="2"/>
      <c r="P27" s="2"/>
      <c r="Q27" s="2"/>
    </row>
    <row r="28" spans="1:17" ht="23.05" customHeight="1">
      <c r="A28" s="68" t="s">
        <v>8</v>
      </c>
      <c r="B28" s="68"/>
      <c r="C28" s="68"/>
      <c r="D28" s="68"/>
      <c r="E28" s="68"/>
      <c r="F28" s="68"/>
      <c r="G28" s="23"/>
      <c r="H28" s="23"/>
      <c r="I28" s="2"/>
      <c r="J28" s="2"/>
      <c r="K28" s="2"/>
      <c r="L28" s="2"/>
      <c r="M28" s="2"/>
      <c r="N28" s="2"/>
      <c r="O28" s="2"/>
      <c r="P28" s="2"/>
      <c r="Q28" s="2"/>
    </row>
    <row r="29" spans="1:17" ht="23.05" customHeight="1">
      <c r="A29" s="70" t="s">
        <v>9</v>
      </c>
      <c r="B29" s="68"/>
      <c r="C29" s="68"/>
      <c r="D29" s="68"/>
      <c r="E29" s="68"/>
      <c r="F29" s="68"/>
      <c r="G29" s="23"/>
      <c r="H29" s="23"/>
      <c r="I29" s="2"/>
      <c r="J29" s="2"/>
      <c r="K29" s="2"/>
      <c r="L29" s="2"/>
      <c r="M29" s="2"/>
      <c r="N29" s="2"/>
      <c r="O29" s="2"/>
      <c r="P29" s="2"/>
      <c r="Q29" s="2"/>
    </row>
    <row r="30" spans="1:17" ht="23.05" customHeight="1">
      <c r="A30" s="21" t="inlineStr">
        <is>
          <t>Market markup</t>
        </is>
      </c>
      <c r="B30" s="83">
        <f xmlns="http://schemas.openxmlformats.org/spreadsheetml/2006/main">VLOOKUP(ORDER!$D$2,$E$35:$I$66,5,FALSE)</f>
        <v>0</v>
      </c>
      <c r="C30" s="21"/>
      <c r="D30" s="21"/>
      <c r="E30" s="21"/>
      <c r="F30" s="21"/>
      <c r="G30" s="23"/>
      <c r="H30" s="23"/>
      <c r="I30" s="2"/>
      <c r="J30" s="2"/>
      <c r="K30" s="2"/>
      <c r="L30" s="2"/>
      <c r="M30" s="2"/>
      <c r="N30" s="2"/>
      <c r="O30" s="2"/>
      <c r="P30" s="2"/>
      <c r="Q30" s="2"/>
    </row>
    <row r="31" spans="1:17" ht="23.05" customHeight="1">
      <c r="A31" s="68" t="str">
        <f>CHOOSE(DETAILS!$B$2,"Ceny przeliczone z PLN. Kursy ustala dostawca; nie zmieniają się automatycznie.","Prices converted from PLN. Supplier sets the rates; they do not update automatically.","Preise aus PLN umgerechnet. Kurse werden vom Lieferanten festgelegt und nicht automatisch aktualisiert.","Prix convertis depuis PLN. Taux fixés par le fournisseur, sans mise à jour automatique.","Precios convertidos desde PLN. El proveedor fija los tipos; no se actualizan automáticamente.","Prezzi convertiti da PLN. I tassi sono fissati dal fornitore e non si aggiornano automaticamente.","Ceny jsou přepočteny z PLN. Kurzy stanovuje dodavatel; neaktualizují se automaticky.","Ceny sú prepočítané z PLN. Kurzy stanovuje dodávateľ; neaktualizujú sa automaticky.")</f>
        <v>Prices converted from PLN. Supplier sets the rates; they do not update automatically.</v>
      </c>
      <c r="B31" s="68"/>
      <c r="C31" s="68"/>
      <c r="D31" s="68"/>
      <c r="E31" s="68"/>
      <c r="F31" s="68"/>
      <c r="G31" s="23"/>
      <c r="H31" s="23"/>
      <c r="I31" s="2"/>
      <c r="J31" s="2"/>
      <c r="K31" s="2"/>
      <c r="L31" s="2"/>
      <c r="M31" s="2"/>
      <c r="N31" s="2"/>
      <c r="O31" s="2"/>
      <c r="P31" s="2"/>
      <c r="Q31" s="2"/>
    </row>
    <row r="32" spans="1:17" ht="23.05" customHeight="1">
      <c r="A32" s="68"/>
      <c r="B32" s="68"/>
      <c r="C32" s="68"/>
      <c r="D32" s="68"/>
      <c r="E32" s="68"/>
      <c r="F32" s="68"/>
      <c r="G32" s="23"/>
      <c r="H32" s="23"/>
      <c r="I32" s="2"/>
      <c r="J32" s="2"/>
      <c r="K32" s="2"/>
      <c r="L32" s="2"/>
      <c r="M32" s="2"/>
      <c r="N32" s="2"/>
      <c r="O32" s="2"/>
      <c r="P32" s="2"/>
      <c r="Q32" s="2"/>
    </row>
    <row r="33" spans="1:17" ht="23.05" customHeight="1">
      <c r="A33" s="23" t="str">
        <f>CHOOSE(DETAILS!$B$2,"Kraj dostawy","Delivery country","Lieferland","Pays de livraison","País de entrega","Paese di consegna","Země doručení","Krajina doručenia")</f>
        <v>Delivery country</v>
      </c>
      <c r="B33" s="42" t="str">
        <f>ORDER!$D$2</f>
        <v>PL</v>
      </c>
      <c r="C33" s="23" t="str">
        <f>VLOOKUP($B$33,$E$35:$G$66,2,FALSE)</f>
        <v>Polska</v>
      </c>
      <c r="D33" s="23"/>
      <c r="E33" s="23"/>
      <c r="F33" s="23"/>
      <c r="G33" s="23"/>
      <c r="H33" s="23"/>
      <c r="I33" s="2"/>
      <c r="J33" s="2"/>
      <c r="K33" s="2"/>
      <c r="L33" s="2"/>
      <c r="M33" s="2"/>
      <c r="N33" s="2"/>
      <c r="O33" s="2"/>
      <c r="P33" s="2"/>
      <c r="Q33" s="2"/>
    </row>
    <row r="34" spans="1:17" ht="34" customHeight="1">
      <c r="A34" s="52" t="str">
        <f>CHOOSE(DETAILS!$B$2,"Waluta","Currency","Währung","Devise","Moneda","Valuta","Měna","Mena")</f>
        <v>Currency</v>
      </c>
      <c r="B34" s="52" t="s">
        <v>26</v>
      </c>
      <c r="C34" s="42"/>
      <c r="D34" s="42"/>
      <c r="E34" s="53" t="str">
        <f>CHOOSE(DETAILS!$B$2,"Kraj dostawy","Delivery country","Lieferland","Pays de livraison","País de entrega","Paese di consegna","Země doručení","Krajina doručenia")</f>
        <v>Delivery country</v>
      </c>
      <c r="F34" s="53" t="str">
        <f>CHOOSE(DETAILS!$B$2,"Nazwa kraju","Country name","Landesname","Nom du pays","Nombre del país","Nome del paese","Název země","Názov krajiny")</f>
        <v>Country name</v>
      </c>
      <c r="G34" s="53" t="str">
        <f>CHOOSE(DETAILS!$B$2,"Waluta","Currency","Währung","Devise","Moneda","Valuta","Měna","Mena")</f>
        <v>Currency</v>
      </c>
      <c r="H34" s="43"/>
      <c r="I34" s="53" t="inlineStr">
        <is>
          <t>Markup</t>
        </is>
      </c>
      <c r="J34" s="2"/>
      <c r="K34" s="2"/>
      <c r="L34" s="2"/>
      <c r="M34" s="2"/>
      <c r="N34" s="2"/>
      <c r="O34" s="2"/>
      <c r="P34" s="2"/>
      <c r="Q34" s="2"/>
    </row>
    <row r="35" spans="1:17" ht="25" customHeight="1">
      <c r="A35" s="42" t="s">
        <v>10</v>
      </c>
      <c r="B35" s="51">
        <v>1</v>
      </c>
      <c r="C35" s="42"/>
      <c r="D35" s="42"/>
      <c r="E35" s="43" t="s">
        <v>23</v>
      </c>
      <c r="F35" s="43" t="s">
        <v>27</v>
      </c>
      <c r="G35" s="43" t="s">
        <v>10</v>
      </c>
      <c r="H35" s="43" t="s">
        <v>22</v>
      </c>
      <c r="I35" s="83">
        <v>0</v>
      </c>
      <c r="J35" s="2"/>
      <c r="K35" s="2"/>
      <c r="L35" s="2"/>
      <c r="M35" s="2"/>
      <c r="N35" s="2"/>
      <c r="O35" s="2"/>
      <c r="P35" s="2"/>
      <c r="Q35" s="2"/>
    </row>
    <row r="36" spans="1:17" ht="25" customHeight="1">
      <c r="A36" s="42" t="s">
        <v>28</v>
      </c>
      <c r="B36" s="51">
        <v>4.3228</v>
      </c>
      <c r="C36" s="42"/>
      <c r="D36" s="42"/>
      <c r="E36" s="43" t="s">
        <v>29</v>
      </c>
      <c r="F36" s="43" t="s">
        <v>30</v>
      </c>
      <c r="G36" s="43" t="s">
        <v>28</v>
      </c>
      <c r="H36" s="43" t="s">
        <v>31</v>
      </c>
      <c r="I36" s="83">
        <v>0.2</v>
      </c>
      <c r="J36" s="2"/>
      <c r="K36" s="2"/>
      <c r="L36" s="2"/>
      <c r="M36" s="2"/>
      <c r="N36" s="2"/>
      <c r="O36" s="2"/>
      <c r="P36" s="2"/>
      <c r="Q36" s="2"/>
    </row>
    <row r="37" spans="1:17" ht="25" customHeight="1">
      <c r="A37" s="42" t="s">
        <v>32</v>
      </c>
      <c r="B37" s="51">
        <v>5.0331999999999999</v>
      </c>
      <c r="C37" s="42"/>
      <c r="D37" s="42"/>
      <c r="E37" s="43" t="s">
        <v>33</v>
      </c>
      <c r="F37" s="43" t="s">
        <v>34</v>
      </c>
      <c r="G37" s="43" t="s">
        <v>28</v>
      </c>
      <c r="H37" s="43" t="s">
        <v>20</v>
      </c>
      <c r="I37" s="83">
        <v>0.2</v>
      </c>
      <c r="J37" s="2"/>
      <c r="K37" s="2"/>
      <c r="L37" s="2"/>
      <c r="M37" s="2"/>
      <c r="N37" s="2"/>
      <c r="O37" s="2"/>
      <c r="P37" s="2"/>
      <c r="Q37" s="2"/>
    </row>
    <row r="38" spans="1:17" ht="25" customHeight="1">
      <c r="A38" s="42" t="s">
        <v>35</v>
      </c>
      <c r="B38" s="51">
        <v>0.1784</v>
      </c>
      <c r="C38" s="42"/>
      <c r="D38" s="42"/>
      <c r="E38" s="43" t="s">
        <v>36</v>
      </c>
      <c r="F38" s="43" t="s">
        <v>37</v>
      </c>
      <c r="G38" s="43" t="s">
        <v>28</v>
      </c>
      <c r="H38" s="43" t="s">
        <v>38</v>
      </c>
      <c r="I38" s="83">
        <v>0.2</v>
      </c>
      <c r="J38" s="2"/>
      <c r="K38" s="2"/>
      <c r="L38" s="2"/>
      <c r="M38" s="2"/>
      <c r="N38" s="2"/>
      <c r="O38" s="2"/>
      <c r="P38" s="2"/>
      <c r="Q38" s="2"/>
    </row>
    <row r="39" spans="1:17" ht="25" customHeight="1">
      <c r="A39" s="42" t="s">
        <v>39</v>
      </c>
      <c r="B39" s="51">
        <v>1.188E-2</v>
      </c>
      <c r="C39" s="42"/>
      <c r="D39" s="42"/>
      <c r="E39" s="43" t="s">
        <v>40</v>
      </c>
      <c r="F39" s="43" t="s">
        <v>41</v>
      </c>
      <c r="G39" s="43" t="s">
        <v>28</v>
      </c>
      <c r="H39" s="43" t="s">
        <v>42</v>
      </c>
      <c r="I39" s="83">
        <v>0.2</v>
      </c>
      <c r="J39" s="2"/>
      <c r="K39" s="2"/>
      <c r="L39" s="2"/>
      <c r="M39" s="2"/>
      <c r="N39" s="2"/>
      <c r="O39" s="2"/>
      <c r="P39" s="2"/>
      <c r="Q39" s="2"/>
    </row>
    <row r="40" spans="1:17" ht="25" customHeight="1">
      <c r="A40" s="42" t="s">
        <v>43</v>
      </c>
      <c r="B40" s="51">
        <v>0.38479999999999998</v>
      </c>
      <c r="C40" s="42"/>
      <c r="D40" s="42"/>
      <c r="E40" s="43" t="s">
        <v>44</v>
      </c>
      <c r="F40" s="43" t="s">
        <v>45</v>
      </c>
      <c r="G40" s="43" t="s">
        <v>28</v>
      </c>
      <c r="H40" s="43" t="s">
        <v>46</v>
      </c>
      <c r="I40" s="83">
        <v>0.2</v>
      </c>
      <c r="J40" s="2"/>
      <c r="K40" s="2"/>
      <c r="L40" s="2"/>
      <c r="M40" s="2"/>
      <c r="N40" s="2"/>
      <c r="O40" s="2"/>
      <c r="P40" s="2"/>
      <c r="Q40" s="2"/>
    </row>
    <row r="41" spans="1:17" ht="25" customHeight="1">
      <c r="A41" s="42" t="s">
        <v>47</v>
      </c>
      <c r="B41" s="51">
        <v>0.57830000000000004</v>
      </c>
      <c r="C41" s="42"/>
      <c r="D41" s="42"/>
      <c r="E41" s="43" t="s">
        <v>21</v>
      </c>
      <c r="F41" s="43" t="s">
        <v>48</v>
      </c>
      <c r="G41" s="43" t="s">
        <v>35</v>
      </c>
      <c r="H41" s="43" t="s">
        <v>49</v>
      </c>
      <c r="I41" s="83">
        <v>0</v>
      </c>
      <c r="J41" s="2"/>
      <c r="K41" s="2"/>
      <c r="L41" s="2"/>
      <c r="M41" s="2"/>
      <c r="N41" s="2"/>
      <c r="O41" s="2"/>
      <c r="P41" s="2"/>
      <c r="Q41" s="2"/>
    </row>
    <row r="42" spans="1:17" ht="25" customHeight="1">
      <c r="A42" s="42" t="s">
        <v>50</v>
      </c>
      <c r="B42" s="51">
        <v>0.40050000000000002</v>
      </c>
      <c r="C42" s="42"/>
      <c r="D42" s="42"/>
      <c r="E42" s="43" t="s">
        <v>51</v>
      </c>
      <c r="F42" s="43" t="s">
        <v>52</v>
      </c>
      <c r="G42" s="43" t="s">
        <v>47</v>
      </c>
      <c r="H42" s="43" t="s">
        <v>53</v>
      </c>
      <c r="I42" s="83">
        <v>0.2</v>
      </c>
      <c r="J42" s="2"/>
      <c r="K42" s="2"/>
      <c r="L42" s="2"/>
      <c r="M42" s="2"/>
      <c r="N42" s="2"/>
      <c r="O42" s="2"/>
      <c r="P42" s="2"/>
      <c r="Q42" s="2"/>
    </row>
    <row r="43" spans="1:17" ht="25" customHeight="1">
      <c r="A43" s="42" t="s">
        <v>54</v>
      </c>
      <c r="B43" s="51">
        <v>4.5768000000000004</v>
      </c>
      <c r="C43" s="42"/>
      <c r="D43" s="42"/>
      <c r="E43" s="43" t="s">
        <v>55</v>
      </c>
      <c r="F43" s="43" t="s">
        <v>56</v>
      </c>
      <c r="G43" s="43" t="s">
        <v>28</v>
      </c>
      <c r="H43" s="43"/>
      <c r="I43" s="83">
        <v>0</v>
      </c>
      <c r="J43" s="2"/>
      <c r="K43" s="2"/>
      <c r="L43" s="2"/>
      <c r="M43" s="2"/>
      <c r="N43" s="2"/>
      <c r="O43" s="2"/>
      <c r="P43" s="2"/>
      <c r="Q43" s="2"/>
    </row>
    <row r="44" spans="1:17" ht="25" customHeight="1">
      <c r="A44" s="42" t="s">
        <v>57</v>
      </c>
      <c r="B44" s="51">
        <v>0.82250000000000001</v>
      </c>
      <c r="C44" s="42"/>
      <c r="D44" s="42"/>
      <c r="E44" s="43" t="s">
        <v>58</v>
      </c>
      <c r="F44" s="43" t="s">
        <v>59</v>
      </c>
      <c r="G44" s="43" t="s">
        <v>28</v>
      </c>
      <c r="H44" s="43"/>
      <c r="I44" s="83">
        <v>0.2</v>
      </c>
      <c r="J44" s="2"/>
      <c r="K44" s="2"/>
      <c r="L44" s="2"/>
      <c r="M44" s="2"/>
      <c r="N44" s="2"/>
      <c r="O44" s="2"/>
      <c r="P44" s="2"/>
      <c r="Q44" s="2"/>
    </row>
    <row r="45" spans="1:17" ht="25" customHeight="1">
      <c r="A45" s="42" t="s">
        <v>60</v>
      </c>
      <c r="B45" s="51">
        <v>3.0877000000000002E-2</v>
      </c>
      <c r="C45" s="42"/>
      <c r="D45" s="42"/>
      <c r="E45" s="43" t="s">
        <v>61</v>
      </c>
      <c r="F45" s="43" t="s">
        <v>62</v>
      </c>
      <c r="G45" s="43" t="s">
        <v>28</v>
      </c>
      <c r="H45" s="43"/>
      <c r="I45" s="83">
        <v>0.2</v>
      </c>
      <c r="J45" s="2"/>
      <c r="K45" s="2"/>
      <c r="L45" s="2"/>
      <c r="M45" s="2"/>
      <c r="N45" s="2"/>
      <c r="O45" s="2"/>
      <c r="P45" s="2"/>
      <c r="Q45" s="2"/>
    </row>
    <row r="46" spans="1:17" ht="25" customHeight="1">
      <c r="A46" s="42"/>
      <c r="B46" s="42"/>
      <c r="C46" s="42"/>
      <c r="D46" s="42"/>
      <c r="E46" s="43" t="s">
        <v>63</v>
      </c>
      <c r="F46" s="43" t="s">
        <v>64</v>
      </c>
      <c r="G46" s="43" t="s">
        <v>28</v>
      </c>
      <c r="H46" s="43"/>
      <c r="I46" s="83">
        <v>0.2</v>
      </c>
      <c r="J46" s="2"/>
      <c r="K46" s="2"/>
      <c r="L46" s="2"/>
      <c r="M46" s="2"/>
      <c r="N46" s="2"/>
      <c r="O46" s="2"/>
      <c r="P46" s="2"/>
      <c r="Q46" s="2"/>
    </row>
    <row r="47" spans="1:17" ht="25" customHeight="1">
      <c r="A47" s="57" t="str">
        <f>CHOOSE(DETAILS!$B$2,"Ziołowe 60 g: 5–9 szt. −16%; 10–99 szt. −25%; od 100 szt. −33%. Rabat od ceny bazowej danego produktu.","Herbal 60 g: 5–9 pcs −16%; 10–99 pcs −25%; 100+ pcs −33%. Discount from each product’s reference price.","Kräuterkerzen 60 g: 5–9 Stück −16%; 10–99 −25%; ab 100 −33%. Rabatt auf den jeweiligen Basispreis.","Bougies aux herbes 60 g : 5–9 pièces −16 % ; 10–99 −25 % ; dès 100 −33 %. Remise sur le prix de référence du produit.","Velas con hierbas de 60 g: 5–9 unidades −16%; 10–99 −25%; desde 100 −33%. Descuento sobre el precio base de cada producto.","Candele alle erbe da 60 g: 5–9 pezzi −16%; 10–99 −25%; da 100 −33%. Sconto sul prezzo di riferimento del prodotto.","Bylinné 60 g: 5–9 ks −16 %; 10–99 ks −25 %; od 100 ks −33 %. Sleva ze základní ceny daného produktu.","Bylinné 60 g: 5–9 ks −16 %; 10–99 ks −25 %; od 100 ks −33 %. Zľava zo základnej ceny daného produktu.")</f>
        <v>Herbal 60 g: 5–9 pcs −16%; 10–99 pcs −25%; 100+ pcs −33%. Discount from each product’s reference price.</v>
      </c>
      <c r="B47" s="57"/>
      <c r="C47" s="57"/>
      <c r="D47" s="57"/>
      <c r="E47" s="43" t="s">
        <v>65</v>
      </c>
      <c r="F47" s="43" t="s">
        <v>66</v>
      </c>
      <c r="G47" s="43" t="s">
        <v>28</v>
      </c>
      <c r="H47" s="43"/>
      <c r="I47" s="83">
        <v>0.2</v>
      </c>
      <c r="J47" s="2"/>
      <c r="K47" s="2"/>
      <c r="L47" s="2"/>
      <c r="M47" s="2"/>
      <c r="N47" s="2"/>
      <c r="O47" s="2"/>
      <c r="P47" s="2"/>
      <c r="Q47" s="2"/>
    </row>
    <row r="48" spans="1:17" ht="25" customHeight="1">
      <c r="A48" s="57"/>
      <c r="B48" s="57"/>
      <c r="C48" s="57"/>
      <c r="D48" s="57"/>
      <c r="E48" s="43" t="s">
        <v>67</v>
      </c>
      <c r="F48" s="43" t="s">
        <v>68</v>
      </c>
      <c r="G48" s="43" t="s">
        <v>39</v>
      </c>
      <c r="H48" s="43"/>
      <c r="I48" s="83">
        <v>0</v>
      </c>
      <c r="J48" s="2"/>
      <c r="K48" s="2"/>
      <c r="L48" s="2"/>
      <c r="M48" s="2"/>
      <c r="N48" s="2"/>
      <c r="O48" s="2"/>
      <c r="P48" s="2"/>
      <c r="Q48" s="2"/>
    </row>
    <row r="49" spans="1:17" ht="25" customHeight="1">
      <c r="A49" s="57"/>
      <c r="B49" s="57"/>
      <c r="C49" s="57"/>
      <c r="D49" s="57"/>
      <c r="E49" s="43" t="s">
        <v>69</v>
      </c>
      <c r="F49" s="43" t="s">
        <v>70</v>
      </c>
      <c r="G49" s="43" t="s">
        <v>28</v>
      </c>
      <c r="H49" s="43"/>
      <c r="I49" s="83">
        <v>0.2</v>
      </c>
      <c r="J49" s="2"/>
      <c r="K49" s="2"/>
      <c r="L49" s="2"/>
      <c r="M49" s="2"/>
      <c r="N49" s="2"/>
      <c r="O49" s="2"/>
      <c r="P49" s="2"/>
      <c r="Q49" s="2"/>
    </row>
    <row r="50" spans="1:17" ht="25" customHeight="1">
      <c r="A50" s="42"/>
      <c r="B50" s="42"/>
      <c r="C50" s="42"/>
      <c r="D50" s="42"/>
      <c r="E50" s="43" t="s">
        <v>71</v>
      </c>
      <c r="F50" s="43" t="s">
        <v>72</v>
      </c>
      <c r="G50" s="43" t="s">
        <v>28</v>
      </c>
      <c r="H50" s="43"/>
      <c r="I50" s="83">
        <v>0.2</v>
      </c>
      <c r="J50" s="2"/>
      <c r="K50" s="2"/>
      <c r="L50" s="2"/>
      <c r="M50" s="2"/>
      <c r="N50" s="2"/>
      <c r="O50" s="2"/>
      <c r="P50" s="2"/>
      <c r="Q50" s="2"/>
    </row>
    <row r="51" spans="1:17" ht="25" customHeight="1">
      <c r="A51" s="72" t="str">
        <f>CHOOSE(DETAILS!$B$2,"Dokumenty i badanie wosku","Documents and wax testing","Dokumente und Wachsuntersuchung","Documents et analyse de la cire","Documentos y análisis de la cera","Documenti e analisi della cera","Dokumenty a zkouška vosku","Dokumenty a skúška vosku")</f>
        <v>Documents and wax testing</v>
      </c>
      <c r="B51" s="57"/>
      <c r="C51" s="57"/>
      <c r="D51" s="57"/>
      <c r="E51" s="43" t="s">
        <v>73</v>
      </c>
      <c r="F51" s="43" t="s">
        <v>74</v>
      </c>
      <c r="G51" s="43" t="s">
        <v>28</v>
      </c>
      <c r="H51" s="43"/>
      <c r="I51" s="83">
        <v>0</v>
      </c>
      <c r="J51" s="2"/>
      <c r="K51" s="2"/>
      <c r="L51" s="2"/>
      <c r="M51" s="2"/>
      <c r="N51" s="2"/>
      <c r="O51" s="2"/>
      <c r="P51" s="2"/>
      <c r="Q51" s="2"/>
    </row>
    <row r="52" spans="1:17" ht="25" customHeight="1">
      <c r="A52" s="57" t="s">
        <v>75</v>
      </c>
      <c r="B52" s="57"/>
      <c r="C52" s="57"/>
      <c r="D52" s="57"/>
      <c r="E52" s="43" t="s">
        <v>76</v>
      </c>
      <c r="F52" s="43" t="s">
        <v>77</v>
      </c>
      <c r="G52" s="43" t="s">
        <v>28</v>
      </c>
      <c r="H52" s="43"/>
      <c r="I52" s="83">
        <v>0</v>
      </c>
      <c r="J52" s="2"/>
      <c r="K52" s="2"/>
      <c r="L52" s="2"/>
      <c r="M52" s="2"/>
      <c r="N52" s="2"/>
      <c r="O52" s="2"/>
      <c r="P52" s="2"/>
      <c r="Q52" s="2"/>
    </row>
    <row r="53" spans="1:17" ht="25" customHeight="1">
      <c r="A53" s="57" t="str">
        <f>CHOOSE(DETAILS!$B$2,"Analiza FTIR dostarczonej próbki: widmo typowe dla wosku pszczelego. Wyniki dotyczą wyłącznie zbadanej próbki; laboratorium bez akredytacji PCA.","FTIR analysis of the submitted sample: spectrum characteristic of beeswax. Results apply only to the tested sample; the laboratory has no PCA accreditation.","FTIR-Analyse der eingereichten Probe: für Bienenwachs typisches Spektrum. Ergebnisse gelten nur für die untersuchte Probe; das Labor hat keine PCA-Akkreditierung.","Analyse FTIR de l’échantillon fourni : spectre caractéristique de la cire d’abeille. Résultats limités à cet échantillon ; laboratoire sans accréditation PCA.","Análisis FTIR de la muestra presentada: espectro característico de cera de abeja. Resultados aplicables solo a la muestra; laboratorio sin acreditación PCA.","Analisi FTIR del campione fornito: spettro caratteristico della cera d’api. Risultati riferiti solo al campione esaminato; laboratorio privo di accreditamento PCA.","FTIR analýza dodaného vzorku: spektrum typické pro včelí vosk. Výsledky platí pouze pro zkoušený vzorek; laboratoř nemá akreditaci PCA.","FTIR analýza dodanej vzorky: spektrum typické pre včelí vosk. Výsledky platia iba pre skúmanú vzorku; laboratórium nemá akreditáciu PCA.")</f>
        <v>FTIR analysis of the submitted sample: spectrum characteristic of beeswax. Results apply only to the tested sample; the laboratory has no PCA accreditation.</v>
      </c>
      <c r="B53" s="57"/>
      <c r="C53" s="57"/>
      <c r="D53" s="57"/>
      <c r="E53" s="43" t="s">
        <v>78</v>
      </c>
      <c r="F53" s="43" t="s">
        <v>79</v>
      </c>
      <c r="G53" s="43" t="s">
        <v>28</v>
      </c>
      <c r="H53" s="43"/>
      <c r="I53" s="83">
        <v>0.2</v>
      </c>
      <c r="J53" s="2"/>
      <c r="K53" s="2"/>
      <c r="L53" s="2"/>
      <c r="M53" s="2"/>
      <c r="N53" s="2"/>
      <c r="O53" s="2"/>
      <c r="P53" s="2"/>
      <c r="Q53" s="2"/>
    </row>
    <row r="54" spans="1:17" ht="25" customHeight="1">
      <c r="A54" s="57"/>
      <c r="B54" s="57"/>
      <c r="C54" s="57"/>
      <c r="D54" s="57"/>
      <c r="E54" s="43" t="s">
        <v>80</v>
      </c>
      <c r="F54" s="43" t="s">
        <v>81</v>
      </c>
      <c r="G54" s="43" t="s">
        <v>28</v>
      </c>
      <c r="H54" s="43"/>
      <c r="I54" s="83">
        <v>0.2</v>
      </c>
      <c r="J54" s="2"/>
      <c r="K54" s="2"/>
      <c r="L54" s="2"/>
      <c r="M54" s="2"/>
      <c r="N54" s="2"/>
      <c r="O54" s="2"/>
      <c r="P54" s="2"/>
      <c r="Q54" s="2"/>
    </row>
    <row r="55" spans="1:17" ht="25" customHeight="1">
      <c r="A55" s="57"/>
      <c r="B55" s="57"/>
      <c r="C55" s="57"/>
      <c r="D55" s="57"/>
      <c r="E55" s="43" t="s">
        <v>82</v>
      </c>
      <c r="F55" s="43" t="s">
        <v>83</v>
      </c>
      <c r="G55" s="43" t="s">
        <v>28</v>
      </c>
      <c r="H55" s="43"/>
      <c r="I55" s="83">
        <v>0.2</v>
      </c>
      <c r="J55" s="2"/>
      <c r="K55" s="2"/>
      <c r="L55" s="2"/>
      <c r="M55" s="2"/>
      <c r="N55" s="2"/>
      <c r="O55" s="2"/>
      <c r="P55" s="2"/>
      <c r="Q55" s="2"/>
    </row>
    <row r="56" spans="1:17" ht="34" customHeight="1">
      <c r="A56" s="43" t="str">
        <f>CHOOSE(DETAILS!$B$2,"Parafina (% m/m)","Paraffin (% w/w)","Paraffin (% m/m)","Paraffine (% m/m)","Parafina (% m/m)","Paraffina (% m/m)","Parafín (% hm.)","Parafín (% hm.)")</f>
        <v>Paraffin (% w/w)</v>
      </c>
      <c r="B56" s="42" t="s">
        <v>84</v>
      </c>
      <c r="C56" s="42"/>
      <c r="D56" s="42"/>
      <c r="E56" s="43" t="s">
        <v>85</v>
      </c>
      <c r="F56" s="43" t="s">
        <v>86</v>
      </c>
      <c r="G56" s="43" t="s">
        <v>28</v>
      </c>
      <c r="H56" s="43"/>
      <c r="I56" s="83">
        <v>0.2</v>
      </c>
      <c r="J56" s="2"/>
      <c r="K56" s="2"/>
      <c r="L56" s="2"/>
      <c r="M56" s="2"/>
      <c r="N56" s="2"/>
      <c r="O56" s="2"/>
      <c r="P56" s="2"/>
      <c r="Q56" s="2"/>
    </row>
    <row r="57" spans="1:17" ht="34" customHeight="1">
      <c r="A57" s="43" t="str">
        <f>CHOOSE(DETAILS!$B$2,"Stearyna","Stearin","Stearin","Stéarine","Estearina","Stearina","Stearin","Stearín")</f>
        <v>Stearin</v>
      </c>
      <c r="B57" s="42" t="str">
        <f>CHOOSE(DETAILS!$B$2,"Nie wykryto","Not detected","Nicht nachgewiesen","Non détectée","No detectada","Non rilevata","Nezjištěn","Nezistený")</f>
        <v>Not detected</v>
      </c>
      <c r="C57" s="42"/>
      <c r="D57" s="42"/>
      <c r="E57" s="43" t="s">
        <v>87</v>
      </c>
      <c r="F57" s="43" t="s">
        <v>88</v>
      </c>
      <c r="G57" s="43" t="s">
        <v>57</v>
      </c>
      <c r="H57" s="43"/>
      <c r="I57" s="83">
        <v>0</v>
      </c>
      <c r="J57" s="2"/>
      <c r="K57" s="2"/>
      <c r="L57" s="2"/>
      <c r="M57" s="2"/>
      <c r="N57" s="2"/>
      <c r="O57" s="2"/>
      <c r="P57" s="2"/>
      <c r="Q57" s="2"/>
    </row>
    <row r="58" spans="1:17" ht="34" customHeight="1">
      <c r="A58" s="43" t="str">
        <f>CHOOSE(DETAILS!$B$2,"Zanieczyszczenia mineralne (% m/m)","Mineral impurities (% w/w)","Mineralische Verunreinigungen (% m/m)","Impuretés minérales (% m/m)","Impurezas minerales (% m/m)","Impurità minerali (% m/m)","Minerální nečistoty (% hm.)","Minerálne nečistoty (% hm.)")</f>
        <v>Mineral impurities (% w/w)</v>
      </c>
      <c r="B58" s="42" t="s">
        <v>89</v>
      </c>
      <c r="C58" s="42"/>
      <c r="D58" s="42"/>
      <c r="E58" s="43" t="s">
        <v>90</v>
      </c>
      <c r="F58" s="43" t="s">
        <v>91</v>
      </c>
      <c r="G58" s="43" t="s">
        <v>28</v>
      </c>
      <c r="H58" s="43"/>
      <c r="I58" s="83">
        <v>0</v>
      </c>
      <c r="J58" s="2"/>
      <c r="K58" s="2"/>
      <c r="L58" s="2"/>
      <c r="M58" s="2"/>
      <c r="N58" s="2"/>
      <c r="O58" s="2"/>
      <c r="P58" s="2"/>
      <c r="Q58" s="2"/>
    </row>
    <row r="59" spans="1:17" ht="25" customHeight="1">
      <c r="A59" s="42"/>
      <c r="B59" s="42"/>
      <c r="C59" s="42"/>
      <c r="D59" s="42"/>
      <c r="E59" s="43" t="s">
        <v>92</v>
      </c>
      <c r="F59" s="43" t="s">
        <v>93</v>
      </c>
      <c r="G59" s="43" t="s">
        <v>28</v>
      </c>
      <c r="H59" s="43"/>
      <c r="I59" s="83">
        <v>0.2</v>
      </c>
      <c r="J59" s="2"/>
      <c r="K59" s="2"/>
      <c r="L59" s="2"/>
      <c r="M59" s="2"/>
      <c r="N59" s="2"/>
      <c r="O59" s="2"/>
      <c r="P59" s="2"/>
      <c r="Q59" s="2"/>
    </row>
    <row r="60" spans="1:17" ht="25" customHeight="1">
      <c r="A60" s="73" t="str">
        <f>CHOOSE(DETAILS!$B$2,"Otwórz pełny raport PDF","Open full PDF report","Vollständigen PDF-Bericht öffnen","Ouvrir le rapport PDF complet","Abrir el informe PDF completo","Aprire il rapporto PDF completo","Otevřít úplnou zprávu PDF","Otvoriť úplnú správu PDF")</f>
        <v>Open full PDF report</v>
      </c>
      <c r="B60" s="57"/>
      <c r="C60" s="57"/>
      <c r="D60" s="57"/>
      <c r="E60" s="43" t="s">
        <v>94</v>
      </c>
      <c r="F60" s="43" t="s">
        <v>95</v>
      </c>
      <c r="G60" s="43" t="s">
        <v>28</v>
      </c>
      <c r="H60" s="43"/>
      <c r="I60" s="83">
        <v>0.2</v>
      </c>
      <c r="J60" s="2"/>
      <c r="K60" s="2"/>
      <c r="L60" s="2"/>
      <c r="M60" s="2"/>
      <c r="N60" s="2"/>
      <c r="O60" s="2"/>
      <c r="P60" s="2"/>
      <c r="Q60" s="2"/>
    </row>
    <row r="61" spans="1:17" ht="25" customHeight="1">
      <c r="A61" s="42"/>
      <c r="B61" s="42"/>
      <c r="C61" s="42"/>
      <c r="D61" s="42"/>
      <c r="E61" s="43" t="s">
        <v>96</v>
      </c>
      <c r="F61" s="43" t="s">
        <v>97</v>
      </c>
      <c r="G61" s="43" t="s">
        <v>43</v>
      </c>
      <c r="H61" s="43"/>
      <c r="I61" s="83">
        <v>0.2</v>
      </c>
      <c r="J61" s="2"/>
      <c r="K61" s="2"/>
      <c r="L61" s="2"/>
      <c r="M61" s="2"/>
      <c r="N61" s="2"/>
      <c r="O61" s="2"/>
      <c r="P61" s="2"/>
      <c r="Q61" s="2"/>
    </row>
    <row r="62" spans="1:17" ht="25" customHeight="1">
      <c r="A62" s="42"/>
      <c r="B62" s="42"/>
      <c r="C62" s="42"/>
      <c r="D62" s="42"/>
      <c r="E62" s="43" t="s">
        <v>98</v>
      </c>
      <c r="F62" s="43" t="s">
        <v>99</v>
      </c>
      <c r="G62" s="43" t="s">
        <v>32</v>
      </c>
      <c r="H62" s="43"/>
      <c r="I62" s="83">
        <v>0.2</v>
      </c>
      <c r="J62" s="2"/>
      <c r="K62" s="2"/>
      <c r="L62" s="2"/>
      <c r="M62" s="2"/>
      <c r="N62" s="2"/>
      <c r="O62" s="2"/>
      <c r="P62" s="2"/>
      <c r="Q62" s="2"/>
    </row>
    <row r="63" spans="1:17" ht="25" customHeight="1">
      <c r="A63" s="42"/>
      <c r="B63" s="42"/>
      <c r="C63" s="42"/>
      <c r="D63" s="42"/>
      <c r="E63" s="43" t="s">
        <v>100</v>
      </c>
      <c r="F63" s="43" t="s">
        <v>101</v>
      </c>
      <c r="G63" s="43" t="s">
        <v>50</v>
      </c>
      <c r="H63" s="43"/>
      <c r="I63" s="83">
        <v>0.2</v>
      </c>
      <c r="J63" s="2"/>
      <c r="K63" s="2"/>
      <c r="L63" s="2"/>
      <c r="M63" s="2"/>
      <c r="N63" s="2"/>
      <c r="O63" s="2"/>
      <c r="P63" s="2"/>
      <c r="Q63" s="2"/>
    </row>
    <row r="64" spans="1:17" ht="25" customHeight="1">
      <c r="A64" s="42"/>
      <c r="B64" s="42"/>
      <c r="C64" s="42"/>
      <c r="D64" s="42"/>
      <c r="E64" s="43" t="s">
        <v>102</v>
      </c>
      <c r="F64" s="43" t="s">
        <v>103</v>
      </c>
      <c r="G64" s="43" t="s">
        <v>54</v>
      </c>
      <c r="H64" s="43"/>
      <c r="I64" s="83">
        <v>0.2</v>
      </c>
      <c r="J64" s="2"/>
      <c r="K64" s="2"/>
      <c r="L64" s="2"/>
      <c r="M64" s="2"/>
      <c r="N64" s="2"/>
      <c r="O64" s="2"/>
      <c r="P64" s="2"/>
      <c r="Q64" s="2"/>
    </row>
    <row r="65" spans="1:17" ht="25" customHeight="1">
      <c r="A65" s="42"/>
      <c r="B65" s="42"/>
      <c r="C65" s="42"/>
      <c r="D65" s="42"/>
      <c r="E65" s="43" t="s">
        <v>104</v>
      </c>
      <c r="F65" s="43" t="s">
        <v>105</v>
      </c>
      <c r="G65" s="43" t="s">
        <v>60</v>
      </c>
      <c r="H65" s="43"/>
      <c r="I65" s="83">
        <v>0.2</v>
      </c>
      <c r="J65" s="2"/>
      <c r="K65" s="2"/>
      <c r="L65" s="2"/>
      <c r="M65" s="2"/>
      <c r="N65" s="2"/>
      <c r="O65" s="2"/>
      <c r="P65" s="2"/>
      <c r="Q65" s="2"/>
    </row>
    <row r="66" spans="1:17" ht="25" customHeight="1">
      <c r="A66" s="42"/>
      <c r="B66" s="42"/>
      <c r="C66" s="42"/>
      <c r="D66" s="42"/>
      <c r="E66" s="43" t="s">
        <v>106</v>
      </c>
      <c r="F66" s="43" t="s">
        <v>107</v>
      </c>
      <c r="G66" s="43" t="s">
        <v>54</v>
      </c>
      <c r="H66" s="43"/>
      <c r="I66" s="83">
        <v>0.2</v>
      </c>
      <c r="J66" s="2"/>
      <c r="K66" s="2"/>
      <c r="L66" s="2"/>
      <c r="M66" s="2"/>
      <c r="N66" s="2"/>
      <c r="O66" s="2"/>
      <c r="P66" s="2"/>
      <c r="Q66" s="2"/>
    </row>
    <row r="67" spans="1:17" ht="23.05" customHeight="1">
      <c r="A67" s="2"/>
      <c r="B67" s="2"/>
      <c r="C67" s="2"/>
      <c r="D67" s="2"/>
      <c r="E67" s="2"/>
      <c r="F67" s="2"/>
      <c r="G67" s="2"/>
      <c r="H67" s="2"/>
      <c r="I67" s="2"/>
      <c r="J67" s="2"/>
      <c r="K67" s="2"/>
      <c r="L67" s="2"/>
      <c r="M67" s="2"/>
      <c r="N67" s="2"/>
      <c r="O67" s="2"/>
      <c r="P67" s="2"/>
      <c r="Q67" s="2"/>
    </row>
  </sheetData>
  <mergeCells count="23">
    <mergeCell ref="A47:D49"/>
    <mergeCell ref="A51:D51"/>
    <mergeCell ref="A52:D52"/>
    <mergeCell ref="A53:D55"/>
    <mergeCell ref="A60:D60"/>
    <mergeCell ref="A31:F32"/>
    <mergeCell ref="B13:F13"/>
    <mergeCell ref="A17:F18"/>
    <mergeCell ref="A20:F21"/>
    <mergeCell ref="A23:F23"/>
    <mergeCell ref="A28:F28"/>
    <mergeCell ref="A29:F29"/>
    <mergeCell ref="A24:F25"/>
    <mergeCell ref="B8:F8"/>
    <mergeCell ref="B9:F9"/>
    <mergeCell ref="B10:F10"/>
    <mergeCell ref="B12:F12"/>
    <mergeCell ref="A14:F15"/>
    <mergeCell ref="A1:F1"/>
    <mergeCell ref="B4:F4"/>
    <mergeCell ref="B5:F5"/>
    <mergeCell ref="B6:F6"/>
    <mergeCell ref="B7:F7"/>
  </mergeCells>
  <hyperlinks>
    <hyperlink ref="A29" r:id="rId1" xr:uid="{22894D42-77BD-4410-918E-3D76B8F04A4A}"/>
    <hyperlink ref="B12" r:id="rId2" xr:uid="{25458C71-8D18-4DBE-A5EA-74AC86515089}"/>
    <hyperlink ref="B13" r:id="rId3" display="divinealchemybyiren@gmail.com  " xr:uid="{99DE3C34-27CB-4978-BB2E-29342A5D3362}"/>
    <hyperlink ref="A60" r:id="rId4" display="../../.codex/.chatgpt-projects/g-p-699b0d43080081918a5653d692988b54/outputs/eu-ready/Wax_Laboratory_Report.pdf" xr:uid="{00000000-0004-0000-0100-000003000000}"/>
  </hyperlink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64D42"/>
  </sheetPr>
  <dimension ref="A1:W62"/>
  <sheetViews>
    <sheetView showGridLines="0" zoomScale="50" zoomScaleNormal="50" workbookViewId="0">
      <pane ySplit="4" topLeftCell="A55" activePane="bottomLeft" state="frozen"/>
      <selection pane="bottomLeft" activeCell="A5" sqref="A5"/>
    </sheetView>
  </sheetViews>
  <sheetFormatPr defaultColWidth="8.3828125" defaultRowHeight="12.45"/>
  <cols>
    <col min="1" max="1" width="14" customWidth="1"/>
    <col min="2" max="2" width="30" customWidth="1"/>
    <col min="3" max="3" width="17" customWidth="1"/>
    <col min="4" max="4" width="13" customWidth="1"/>
    <col min="5" max="5" width="13" style="13" customWidth="1"/>
    <col min="6" max="6" width="22" style="12" customWidth="1"/>
    <col min="7" max="20" width="12" customWidth="1"/>
    <col min="21" max="23" width="12" hidden="1" customWidth="1"/>
  </cols>
  <sheetData>
    <row r="1" spans="1:23" ht="23.05" customHeight="1">
      <c r="A1" s="74" t="str">
        <f>CHOOSE(DETAILS!$B$2,"Cennik i progi ilościowe","Price list and quantity tiers","Preisliste und Mengenstaffeln","Tarifs et paliers de quantité","Tarifas y tramos de cantidad","Listino prezzi e fasce di quantità","Ceník a množstevní pásma","Cenník a množstevné pásma")</f>
        <v>Price list and quantity tiers</v>
      </c>
      <c r="B1" s="75"/>
      <c r="C1" s="75"/>
      <c r="D1" s="75"/>
      <c r="E1" s="75"/>
      <c r="F1" s="75"/>
      <c r="G1" s="76"/>
      <c r="H1" s="76"/>
      <c r="I1" s="76"/>
      <c r="J1" s="76"/>
      <c r="K1" s="76"/>
      <c r="L1" s="76"/>
      <c r="M1" s="76"/>
      <c r="N1" s="76"/>
      <c r="O1" s="76"/>
      <c r="P1" s="76"/>
      <c r="Q1" s="76"/>
      <c r="R1" s="76"/>
      <c r="S1" s="76"/>
      <c r="T1" s="76"/>
      <c r="U1" s="2"/>
      <c r="V1" s="2"/>
    </row>
    <row r="2" spans="1:23" ht="36" customHeight="1">
      <c r="A2" s="68" t="str">
        <f>CHOOSE(DETAILS!$B$2,"Ceny za 1 sztukę w wybranej walucie. Pusta cena = zapytanie. Ilości wpisz w ORDER.","Prices per piece in the selected currency. Blank price = request a quote. Enter quantities in ORDER.","Preise pro Stück in der gewählten Währung. Leerer Preis = Anfrage. Mengen in ORDER eintragen.","Prix par pièce dans la devise choisie. Prix vide = devis. Quantités dans ORDER.","Precios por unidad en la moneda elegida. Precio vacío = consultar. Cantidades en ORDER.","Prezzi al pezzo nella valuta scelta. Prezzo vuoto = preventivo. Quantità in ORDER.","Ceny za kus ve zvolené měně. Prázdná cena = poptávka. Množství zadejte do ORDER.","Ceny za kus vo zvolenej mene. Prázdna cena = dopyt. Množstvá zadajte do ORDER.")</f>
        <v>Prices per piece in the selected currency. Blank price = request a quote. Enter quantities in ORDER.</v>
      </c>
      <c r="B2" s="75"/>
      <c r="C2" s="75"/>
      <c r="D2" s="75"/>
      <c r="E2" s="75"/>
      <c r="F2" s="75"/>
      <c r="G2" s="69"/>
      <c r="H2" s="69"/>
      <c r="I2" s="69"/>
      <c r="J2" s="69"/>
      <c r="K2" s="69"/>
      <c r="L2" s="69"/>
      <c r="M2" s="69"/>
      <c r="N2" s="69"/>
      <c r="O2" s="69"/>
      <c r="P2" s="69"/>
      <c r="Q2" s="69"/>
      <c r="R2" s="69"/>
      <c r="S2" s="69"/>
      <c r="T2" s="69"/>
      <c r="U2" s="2"/>
      <c r="V2" s="2"/>
    </row>
    <row r="3" spans="1:23" ht="23.05" customHeight="1">
      <c r="F3" s="35" t="str">
        <f>DETAILS!$B$27</f>
        <v>PLN</v>
      </c>
      <c r="G3" s="2"/>
      <c r="H3" s="2"/>
      <c r="I3" s="2"/>
      <c r="J3" s="2"/>
      <c r="K3" s="2"/>
      <c r="L3" s="2"/>
      <c r="M3" s="2"/>
      <c r="N3" s="2"/>
      <c r="O3" s="2"/>
      <c r="P3" s="2"/>
      <c r="Q3" s="2"/>
      <c r="R3" s="2"/>
      <c r="S3" s="2"/>
      <c r="T3" s="2"/>
      <c r="U3" s="2"/>
      <c r="V3" s="2"/>
    </row>
    <row r="4" spans="1:23" s="17" customFormat="1" ht="42" customHeight="1">
      <c r="A4" s="37" t="str">
        <f>CHOOSE(DETAILS!$B$2,"Zdjęcie","Photo","Foto","Photo"," Foto","Foto","Fotografie","Fotografia")</f>
        <v>Photo</v>
      </c>
      <c r="B4" s="37" t="str">
        <f>CHOOSE(DETAILS!$B$2,"Produkt","Product","Produkt","Produit","Producto","Prodotto","Produkt","Produkt")</f>
        <v>Product</v>
      </c>
      <c r="C4" s="37" t="str">
        <f>CHOOSE(DETAILS!$B$2,"Kolor","Colour","Farbe","Couleur","Color","Colore","Barva","Farba")</f>
        <v>Colour</v>
      </c>
      <c r="D4" s="37" t="str">
        <f>CHOOSE(DETAILS!$B$2,"Rozmiar","Size","Größe","Dimensions","Tamaño","Dimensioni","Rozměry","Rozmery")</f>
        <v>Size</v>
      </c>
      <c r="E4" s="39" t="str">
        <f>CHOOSE(DETAILS!$B$2,"Waga netto (g)","Net weight (g)","Nettogewicht (g)","Poids net (g)","Peso neto (g)","Peso netto (g)","Čistá hmotnost (g)","Čistá hmotnosť (g)")</f>
        <v>Net weight (g)</v>
      </c>
      <c r="F4" s="14" t="s">
        <v>19</v>
      </c>
      <c r="G4" s="38" t="str">
        <f>CHOOSE(DETAILS!$B$2,"Cena bazowa","Reference price","Basispreis","Prix de référence","Precio base","Prezzo di riferimento","Základní cena","Základná cena")</f>
        <v>Reference price</v>
      </c>
      <c r="H4" s="38" t="str">
        <f>CHOOSE(DETAILS!$B$2,"Sztuk / jednostkę","Pieces / unit","Stück / Einheit","Pièces / unité","Piezas / unidad","Pezzi / unità","Kusů / jednotku","Kusov / jednotku")</f>
        <v>Pieces / unit</v>
      </c>
      <c r="I4" s="38" t="str">
        <f>CHOOSE(DETAILS!$B$2,"Minimum, jedn.","Minimum, units","Minimum, Einheiten","Minimum, unités","Mínimo, unidades","Minimo, unità","Minimum, jednotky","Minimum, jednotky")</f>
        <v>Minimum, units</v>
      </c>
      <c r="J4" s="15">
        <v>1</v>
      </c>
      <c r="K4" s="15">
        <v>5</v>
      </c>
      <c r="L4" s="15">
        <v>10</v>
      </c>
      <c r="M4" s="15">
        <v>20</v>
      </c>
      <c r="N4" s="15">
        <v>25</v>
      </c>
      <c r="O4" s="15">
        <v>30</v>
      </c>
      <c r="P4" s="15">
        <v>50</v>
      </c>
      <c r="Q4" s="15">
        <v>100</v>
      </c>
      <c r="R4" s="15">
        <v>250</v>
      </c>
      <c r="S4" s="15">
        <v>500</v>
      </c>
      <c r="T4" s="15">
        <v>1000</v>
      </c>
      <c r="U4" s="16" t="s">
        <v>11</v>
      </c>
      <c r="V4" s="16" t="s">
        <v>10</v>
      </c>
      <c r="W4" s="17" t="s">
        <v>12</v>
      </c>
    </row>
    <row r="5" spans="1:23" ht="78" customHeight="1">
      <c r="A5" s="4" t="e" vm="1">
        <v>#VALUE!</v>
      </c>
      <c r="B5" s="5" t="str">
        <f>ORDER!B6</f>
        <v>Coloured beeswax candle</v>
      </c>
      <c r="C5" s="5" t="str">
        <f>ORDER!C6</f>
        <v>White</v>
      </c>
      <c r="D5" s="5" t="str">
        <f>ORDER!D6</f>
        <v>130 × 10 mm</v>
      </c>
      <c r="E5" s="18">
        <v>10</v>
      </c>
      <c r="F5" s="35" t="s">
        <v>108</v>
      </c>
      <c r="G5" s="32">
        <f xmlns="http://schemas.openxmlformats.org/spreadsheetml/2006/main">ROUND(BASE_PRICES!B5*(1+DETAILS!$B$30)/DETAILS!$B$26,4)</f>
        <v>6.1</v>
      </c>
      <c r="H5" s="33">
        <f>BASE_PRICES!C5</f>
        <v>1</v>
      </c>
      <c r="I5" s="33">
        <f>BASE_PRICES!D5</f>
        <v>10</v>
      </c>
      <c r="J5" s="32" t="str">
        <f xmlns="http://schemas.openxmlformats.org/spreadsheetml/2006/main">IF(1&lt;BASE_PRICES!D5,"",IF(BASE_PRICES!F5="","",ROUND(BASE_PRICES!F5*(1+DETAILS!$B$30)/DETAILS!$B$26,4)))</f>
        <v>0</v>
      </c>
      <c r="K5" s="32" t="str">
        <f xmlns="http://schemas.openxmlformats.org/spreadsheetml/2006/main">IF(5&lt;BASE_PRICES!D5,"",IF(BASE_PRICES!G5="","",ROUND(BASE_PRICES!G5*(1+DETAILS!$B$30)/DETAILS!$B$26,4)))</f>
        <v>0</v>
      </c>
      <c r="L5" s="32">
        <f xmlns="http://schemas.openxmlformats.org/spreadsheetml/2006/main">IF(10&lt;BASE_PRICES!D5,"",IF(BASE_PRICES!H5="","",ROUND(BASE_PRICES!H5*(1+DETAILS!$B$30)/DETAILS!$B$26,4)))</f>
        <v>5.2460000000000004</v>
      </c>
      <c r="M5" s="32">
        <f xmlns="http://schemas.openxmlformats.org/spreadsheetml/2006/main">IF(20&lt;BASE_PRICES!D5,"",IF(BASE_PRICES!I5="","",ROUND(BASE_PRICES!I5*(1+DETAILS!$B$30)/DETAILS!$B$26,4)))</f>
        <v>4.9494999999999996</v>
      </c>
      <c r="N5" s="32">
        <f xmlns="http://schemas.openxmlformats.org/spreadsheetml/2006/main">IF(25&lt;BASE_PRICES!D5,"",IF(BASE_PRICES!J5="","",ROUND(BASE_PRICES!J5*(1+DETAILS!$B$30)/DETAILS!$B$26,4)))</f>
        <v>4.9494999999999996</v>
      </c>
      <c r="O5" s="32">
        <f xmlns="http://schemas.openxmlformats.org/spreadsheetml/2006/main">IF(30&lt;BASE_PRICES!D5,"",IF(BASE_PRICES!K5="","",ROUND(BASE_PRICES!K5*(1+DETAILS!$B$30)/DETAILS!$B$26,4)))</f>
        <v>4.9494999999999996</v>
      </c>
      <c r="P5" s="32">
        <f xmlns="http://schemas.openxmlformats.org/spreadsheetml/2006/main">IF(50&lt;BASE_PRICES!D5,"",IF(BASE_PRICES!L5="","",ROUND(BASE_PRICES!L5*(1+DETAILS!$B$30)/DETAILS!$B$26,4)))</f>
        <v>4.4997999999999996</v>
      </c>
      <c r="Q5" s="32">
        <f xmlns="http://schemas.openxmlformats.org/spreadsheetml/2006/main">IF(100&lt;BASE_PRICES!D5,"",IF(BASE_PRICES!M5="","",ROUND(BASE_PRICES!M5*(1+DETAILS!$B$30)/DETAILS!$B$26,4)))</f>
        <v>4.2699999999999996</v>
      </c>
      <c r="R5" s="32">
        <f xmlns="http://schemas.openxmlformats.org/spreadsheetml/2006/main">IF(250&lt;BASE_PRICES!D5,"",IF(BASE_PRICES!N5="","",ROUND(BASE_PRICES!N5*(1+DETAILS!$B$30)/DETAILS!$B$26,4)))</f>
        <v>4.08</v>
      </c>
      <c r="S5" s="32">
        <f xmlns="http://schemas.openxmlformats.org/spreadsheetml/2006/main">IF(500&lt;BASE_PRICES!D5,"",IF(BASE_PRICES!O5="","",ROUND(BASE_PRICES!O5*(1+DETAILS!$B$30)/DETAILS!$B$26,4)))</f>
        <v>3.4</v>
      </c>
      <c r="T5" s="32">
        <f xmlns="http://schemas.openxmlformats.org/spreadsheetml/2006/main">IF(1000&lt;BASE_PRICES!D5,"",IF(BASE_PRICES!P5="","",ROUND(BASE_PRICES!P5*(1+DETAILS!$B$30)/DETAILS!$B$26,4)))</f>
        <v>3.2</v>
      </c>
      <c r="U5" s="23">
        <f>IF(ISNUMBER(ORDER!G6),IF(AND(ORDER!G6&gt;=I5,MOD(ORDER!G6,BASE_PRICES!E5)=0),MATCH(ORDER!G6,$J$4:$T$4,1),0),0)</f>
        <v>0</v>
      </c>
      <c r="V5" s="23" t="str">
        <f>IF(U5=0,"",IF(INDEX(BASE_PRICES!F5:P5,1,U5)="","",INDEX(BASE_PRICES!F5:P5,1,U5)))</f>
        <v/>
      </c>
      <c r="W5" s="20">
        <f>IF(ORDER!G6=0,0,IF(ISNUMBER(ORDER!H6),0,1))</f>
        <v>0</v>
      </c>
    </row>
    <row r="6" spans="1:23" ht="78" customHeight="1">
      <c r="A6" s="4" t="e" vm="2">
        <v>#VALUE!</v>
      </c>
      <c r="B6" s="1" t="str">
        <f>ORDER!B7</f>
        <v>Coloured beeswax candle</v>
      </c>
      <c r="C6" s="1" t="str">
        <f>ORDER!C7</f>
        <v>Light blue</v>
      </c>
      <c r="D6" s="1" t="str">
        <f>ORDER!D7</f>
        <v>130 × 10 mm</v>
      </c>
      <c r="E6" s="19">
        <v>10</v>
      </c>
      <c r="F6" s="35" t="s">
        <v>109</v>
      </c>
      <c r="G6" s="32">
        <f xmlns="http://schemas.openxmlformats.org/spreadsheetml/2006/main">ROUND(BASE_PRICES!B6*(1+DETAILS!$B$30)/DETAILS!$B$26,4)</f>
        <v>6.1</v>
      </c>
      <c r="H6" s="33">
        <f>BASE_PRICES!C6</f>
        <v>1</v>
      </c>
      <c r="I6" s="33">
        <f>BASE_PRICES!D6</f>
        <v>10</v>
      </c>
      <c r="J6" s="32" t="str">
        <f xmlns="http://schemas.openxmlformats.org/spreadsheetml/2006/main">IF(1&lt;BASE_PRICES!D6,"",IF(BASE_PRICES!F6="","",ROUND(BASE_PRICES!F6*(1+DETAILS!$B$30)/DETAILS!$B$26,4)))</f>
        <v>0</v>
      </c>
      <c r="K6" s="32" t="str">
        <f xmlns="http://schemas.openxmlformats.org/spreadsheetml/2006/main">IF(5&lt;BASE_PRICES!D6,"",IF(BASE_PRICES!G6="","",ROUND(BASE_PRICES!G6*(1+DETAILS!$B$30)/DETAILS!$B$26,4)))</f>
        <v>0</v>
      </c>
      <c r="L6" s="32">
        <f xmlns="http://schemas.openxmlformats.org/spreadsheetml/2006/main">IF(10&lt;BASE_PRICES!D6,"",IF(BASE_PRICES!H6="","",ROUND(BASE_PRICES!H6*(1+DETAILS!$B$30)/DETAILS!$B$26,4)))</f>
        <v>5.2460000000000004</v>
      </c>
      <c r="M6" s="32">
        <f xmlns="http://schemas.openxmlformats.org/spreadsheetml/2006/main">IF(20&lt;BASE_PRICES!D6,"",IF(BASE_PRICES!I6="","",ROUND(BASE_PRICES!I6*(1+DETAILS!$B$30)/DETAILS!$B$26,4)))</f>
        <v>4.9494999999999996</v>
      </c>
      <c r="N6" s="32">
        <f xmlns="http://schemas.openxmlformats.org/spreadsheetml/2006/main">IF(25&lt;BASE_PRICES!D6,"",IF(BASE_PRICES!J6="","",ROUND(BASE_PRICES!J6*(1+DETAILS!$B$30)/DETAILS!$B$26,4)))</f>
        <v>4.9494999999999996</v>
      </c>
      <c r="O6" s="32">
        <f xmlns="http://schemas.openxmlformats.org/spreadsheetml/2006/main">IF(30&lt;BASE_PRICES!D6,"",IF(BASE_PRICES!K6="","",ROUND(BASE_PRICES!K6*(1+DETAILS!$B$30)/DETAILS!$B$26,4)))</f>
        <v>4.9494999999999996</v>
      </c>
      <c r="P6" s="32">
        <f xmlns="http://schemas.openxmlformats.org/spreadsheetml/2006/main">IF(50&lt;BASE_PRICES!D6,"",IF(BASE_PRICES!L6="","",ROUND(BASE_PRICES!L6*(1+DETAILS!$B$30)/DETAILS!$B$26,4)))</f>
        <v>4.4997999999999996</v>
      </c>
      <c r="Q6" s="32">
        <f xmlns="http://schemas.openxmlformats.org/spreadsheetml/2006/main">IF(100&lt;BASE_PRICES!D6,"",IF(BASE_PRICES!M6="","",ROUND(BASE_PRICES!M6*(1+DETAILS!$B$30)/DETAILS!$B$26,4)))</f>
        <v>4.2699999999999996</v>
      </c>
      <c r="R6" s="32">
        <f xmlns="http://schemas.openxmlformats.org/spreadsheetml/2006/main">IF(250&lt;BASE_PRICES!D6,"",IF(BASE_PRICES!N6="","",ROUND(BASE_PRICES!N6*(1+DETAILS!$B$30)/DETAILS!$B$26,4)))</f>
        <v>4.08</v>
      </c>
      <c r="S6" s="32">
        <f xmlns="http://schemas.openxmlformats.org/spreadsheetml/2006/main">IF(500&lt;BASE_PRICES!D6,"",IF(BASE_PRICES!O6="","",ROUND(BASE_PRICES!O6*(1+DETAILS!$B$30)/DETAILS!$B$26,4)))</f>
        <v>3.4</v>
      </c>
      <c r="T6" s="32">
        <f xmlns="http://schemas.openxmlformats.org/spreadsheetml/2006/main">IF(1000&lt;BASE_PRICES!D6,"",IF(BASE_PRICES!P6="","",ROUND(BASE_PRICES!P6*(1+DETAILS!$B$30)/DETAILS!$B$26,4)))</f>
        <v>3.2</v>
      </c>
      <c r="U6" s="23">
        <f>IF(ISNUMBER(ORDER!G7),IF(AND(ORDER!G7&gt;=I6,MOD(ORDER!G7,BASE_PRICES!E6)=0),MATCH(ORDER!G7,$J$4:$T$4,1),0),0)</f>
        <v>0</v>
      </c>
      <c r="V6" s="23" t="str">
        <f>IF(U6=0,"",IF(INDEX(BASE_PRICES!F6:P6,1,U6)="","",INDEX(BASE_PRICES!F6:P6,1,U6)))</f>
        <v/>
      </c>
      <c r="W6" s="20">
        <f>IF(ORDER!G7=0,0,IF(ISNUMBER(ORDER!H7),0,1))</f>
        <v>0</v>
      </c>
    </row>
    <row r="7" spans="1:23" ht="78" customHeight="1">
      <c r="A7" s="4" t="e" vm="3">
        <v>#VALUE!</v>
      </c>
      <c r="B7" s="5" t="str">
        <f>ORDER!B8</f>
        <v>Coloured beeswax candle</v>
      </c>
      <c r="C7" s="5" t="str">
        <f>ORDER!C8</f>
        <v>Natural yellow</v>
      </c>
      <c r="D7" s="5" t="str">
        <f>ORDER!D8</f>
        <v>130 × 10 mm</v>
      </c>
      <c r="E7" s="18">
        <v>10</v>
      </c>
      <c r="F7" s="35" t="s">
        <v>110</v>
      </c>
      <c r="G7" s="32">
        <f xmlns="http://schemas.openxmlformats.org/spreadsheetml/2006/main">ROUND(BASE_PRICES!B7*(1+DETAILS!$B$30)/DETAILS!$B$26,4)</f>
        <v>5.4</v>
      </c>
      <c r="H7" s="33">
        <f>BASE_PRICES!C7</f>
        <v>1</v>
      </c>
      <c r="I7" s="33">
        <f>BASE_PRICES!D7</f>
        <v>10</v>
      </c>
      <c r="J7" s="32" t="str">
        <f xmlns="http://schemas.openxmlformats.org/spreadsheetml/2006/main">IF(1&lt;BASE_PRICES!D7,"",IF(BASE_PRICES!F7="","",ROUND(BASE_PRICES!F7*(1+DETAILS!$B$30)/DETAILS!$B$26,4)))</f>
        <v>0</v>
      </c>
      <c r="K7" s="32" t="str">
        <f xmlns="http://schemas.openxmlformats.org/spreadsheetml/2006/main">IF(5&lt;BASE_PRICES!D7,"",IF(BASE_PRICES!G7="","",ROUND(BASE_PRICES!G7*(1+DETAILS!$B$30)/DETAILS!$B$26,4)))</f>
        <v>0</v>
      </c>
      <c r="L7" s="32">
        <f xmlns="http://schemas.openxmlformats.org/spreadsheetml/2006/main">IF(10&lt;BASE_PRICES!D7,"",IF(BASE_PRICES!H7="","",ROUND(BASE_PRICES!H7*(1+DETAILS!$B$30)/DETAILS!$B$26,4)))</f>
        <v>4.806</v>
      </c>
      <c r="M7" s="32">
        <f xmlns="http://schemas.openxmlformats.org/spreadsheetml/2006/main">IF(20&lt;BASE_PRICES!D7,"",IF(BASE_PRICES!I7="","",ROUND(BASE_PRICES!I7*(1+DETAILS!$B$30)/DETAILS!$B$26,4)))</f>
        <v>4.5359999999999996</v>
      </c>
      <c r="N7" s="32">
        <f xmlns="http://schemas.openxmlformats.org/spreadsheetml/2006/main">IF(25&lt;BASE_PRICES!D7,"",IF(BASE_PRICES!J7="","",ROUND(BASE_PRICES!J7*(1+DETAILS!$B$30)/DETAILS!$B$26,4)))</f>
        <v>4.5359999999999996</v>
      </c>
      <c r="O7" s="32">
        <f xmlns="http://schemas.openxmlformats.org/spreadsheetml/2006/main">IF(30&lt;BASE_PRICES!D7,"",IF(BASE_PRICES!K7="","",ROUND(BASE_PRICES!K7*(1+DETAILS!$B$30)/DETAILS!$B$26,4)))</f>
        <v>4.5359999999999996</v>
      </c>
      <c r="P7" s="32">
        <f xmlns="http://schemas.openxmlformats.org/spreadsheetml/2006/main">IF(50&lt;BASE_PRICES!D7,"",IF(BASE_PRICES!L7="","",ROUND(BASE_PRICES!L7*(1+DETAILS!$B$30)/DETAILS!$B$26,4)))</f>
        <v>4.1040000000000001</v>
      </c>
      <c r="Q7" s="32">
        <f xmlns="http://schemas.openxmlformats.org/spreadsheetml/2006/main">IF(100&lt;BASE_PRICES!D7,"",IF(BASE_PRICES!M7="","",ROUND(BASE_PRICES!M7*(1+DETAILS!$B$30)/DETAILS!$B$26,4)))</f>
        <v>3.78</v>
      </c>
      <c r="R7" s="32">
        <f xmlns="http://schemas.openxmlformats.org/spreadsheetml/2006/main">IF(250&lt;BASE_PRICES!D7,"",IF(BASE_PRICES!N7="","",ROUND(BASE_PRICES!N7*(1+DETAILS!$B$30)/DETAILS!$B$26,4)))</f>
        <v>3.6179999999999999</v>
      </c>
      <c r="S7" s="32">
        <f xmlns="http://schemas.openxmlformats.org/spreadsheetml/2006/main">IF(500&lt;BASE_PRICES!D7,"",IF(BASE_PRICES!O7="","",ROUND(BASE_PRICES!O7*(1+DETAILS!$B$30)/DETAILS!$B$26,4)))</f>
        <v>3.4</v>
      </c>
      <c r="T7" s="32">
        <f xmlns="http://schemas.openxmlformats.org/spreadsheetml/2006/main">IF(1000&lt;BASE_PRICES!D7,"",IF(BASE_PRICES!P7="","",ROUND(BASE_PRICES!P7*(1+DETAILS!$B$30)/DETAILS!$B$26,4)))</f>
        <v>3.2</v>
      </c>
      <c r="U7" s="23">
        <f>IF(ISNUMBER(ORDER!G8),IF(AND(ORDER!G8&gt;=I7,MOD(ORDER!G8,BASE_PRICES!E7)=0),MATCH(ORDER!G8,$J$4:$T$4,1),0),0)</f>
        <v>0</v>
      </c>
      <c r="V7" s="23" t="str">
        <f>IF(U7=0,"",IF(INDEX(BASE_PRICES!F7:P7,1,U7)="","",INDEX(BASE_PRICES!F7:P7,1,U7)))</f>
        <v/>
      </c>
      <c r="W7" s="20">
        <f>IF(ORDER!G8=0,0,IF(ISNUMBER(ORDER!H8),0,1))</f>
        <v>0</v>
      </c>
    </row>
    <row r="8" spans="1:23" ht="78" customHeight="1">
      <c r="A8" s="4" t="e" vm="4">
        <v>#VALUE!</v>
      </c>
      <c r="B8" s="1" t="str">
        <f>ORDER!B9</f>
        <v>Coloured beeswax candle</v>
      </c>
      <c r="C8" s="1" t="str">
        <f>ORDER!C9</f>
        <v>Green</v>
      </c>
      <c r="D8" s="1" t="str">
        <f>ORDER!D9</f>
        <v>130 × 10 mm</v>
      </c>
      <c r="E8" s="19">
        <v>10</v>
      </c>
      <c r="F8" s="36" t="s">
        <v>111</v>
      </c>
      <c r="G8" s="32">
        <f xmlns="http://schemas.openxmlformats.org/spreadsheetml/2006/main">ROUND(BASE_PRICES!B8*(1+DETAILS!$B$30)/DETAILS!$B$26,4)</f>
        <v>5.4</v>
      </c>
      <c r="H8" s="33">
        <f>BASE_PRICES!C8</f>
        <v>1</v>
      </c>
      <c r="I8" s="33">
        <f>BASE_PRICES!D8</f>
        <v>10</v>
      </c>
      <c r="J8" s="32" t="str">
        <f xmlns="http://schemas.openxmlformats.org/spreadsheetml/2006/main">IF(1&lt;BASE_PRICES!D8,"",IF(BASE_PRICES!F8="","",ROUND(BASE_PRICES!F8*(1+DETAILS!$B$30)/DETAILS!$B$26,4)))</f>
        <v>0</v>
      </c>
      <c r="K8" s="32" t="str">
        <f xmlns="http://schemas.openxmlformats.org/spreadsheetml/2006/main">IF(5&lt;BASE_PRICES!D8,"",IF(BASE_PRICES!G8="","",ROUND(BASE_PRICES!G8*(1+DETAILS!$B$30)/DETAILS!$B$26,4)))</f>
        <v>0</v>
      </c>
      <c r="L8" s="32">
        <f xmlns="http://schemas.openxmlformats.org/spreadsheetml/2006/main">IF(10&lt;BASE_PRICES!D8,"",IF(BASE_PRICES!H8="","",ROUND(BASE_PRICES!H8*(1+DETAILS!$B$30)/DETAILS!$B$26,4)))</f>
        <v>4.806</v>
      </c>
      <c r="M8" s="32">
        <f xmlns="http://schemas.openxmlformats.org/spreadsheetml/2006/main">IF(20&lt;BASE_PRICES!D8,"",IF(BASE_PRICES!I8="","",ROUND(BASE_PRICES!I8*(1+DETAILS!$B$30)/DETAILS!$B$26,4)))</f>
        <v>4.5359999999999996</v>
      </c>
      <c r="N8" s="32">
        <f xmlns="http://schemas.openxmlformats.org/spreadsheetml/2006/main">IF(25&lt;BASE_PRICES!D8,"",IF(BASE_PRICES!J8="","",ROUND(BASE_PRICES!J8*(1+DETAILS!$B$30)/DETAILS!$B$26,4)))</f>
        <v>4.5359999999999996</v>
      </c>
      <c r="O8" s="32">
        <f xmlns="http://schemas.openxmlformats.org/spreadsheetml/2006/main">IF(30&lt;BASE_PRICES!D8,"",IF(BASE_PRICES!K8="","",ROUND(BASE_PRICES!K8*(1+DETAILS!$B$30)/DETAILS!$B$26,4)))</f>
        <v>4.5359999999999996</v>
      </c>
      <c r="P8" s="32">
        <f xmlns="http://schemas.openxmlformats.org/spreadsheetml/2006/main">IF(50&lt;BASE_PRICES!D8,"",IF(BASE_PRICES!L8="","",ROUND(BASE_PRICES!L8*(1+DETAILS!$B$30)/DETAILS!$B$26,4)))</f>
        <v>4.1040000000000001</v>
      </c>
      <c r="Q8" s="32">
        <f xmlns="http://schemas.openxmlformats.org/spreadsheetml/2006/main">IF(100&lt;BASE_PRICES!D8,"",IF(BASE_PRICES!M8="","",ROUND(BASE_PRICES!M8*(1+DETAILS!$B$30)/DETAILS!$B$26,4)))</f>
        <v>3.78</v>
      </c>
      <c r="R8" s="32">
        <f xmlns="http://schemas.openxmlformats.org/spreadsheetml/2006/main">IF(250&lt;BASE_PRICES!D8,"",IF(BASE_PRICES!N8="","",ROUND(BASE_PRICES!N8*(1+DETAILS!$B$30)/DETAILS!$B$26,4)))</f>
        <v>3.6179999999999999</v>
      </c>
      <c r="S8" s="32">
        <f xmlns="http://schemas.openxmlformats.org/spreadsheetml/2006/main">IF(500&lt;BASE_PRICES!D8,"",IF(BASE_PRICES!O8="","",ROUND(BASE_PRICES!O8*(1+DETAILS!$B$30)/DETAILS!$B$26,4)))</f>
        <v>3.4</v>
      </c>
      <c r="T8" s="32">
        <f xmlns="http://schemas.openxmlformats.org/spreadsheetml/2006/main">IF(1000&lt;BASE_PRICES!D8,"",IF(BASE_PRICES!P8="","",ROUND(BASE_PRICES!P8*(1+DETAILS!$B$30)/DETAILS!$B$26,4)))</f>
        <v>3.2</v>
      </c>
      <c r="U8" s="23">
        <f>IF(ISNUMBER(ORDER!G9),IF(AND(ORDER!G9&gt;=I8,MOD(ORDER!G9,BASE_PRICES!E8)=0),MATCH(ORDER!G9,$J$4:$T$4,1),0),0)</f>
        <v>0</v>
      </c>
      <c r="V8" s="23" t="str">
        <f>IF(U8=0,"",IF(INDEX(BASE_PRICES!F8:P8,1,U8)="","",INDEX(BASE_PRICES!F8:P8,1,U8)))</f>
        <v/>
      </c>
      <c r="W8" s="20">
        <f>IF(ORDER!G9=0,0,IF(ISNUMBER(ORDER!H9),0,1))</f>
        <v>0</v>
      </c>
    </row>
    <row r="9" spans="1:23" ht="78" customHeight="1">
      <c r="A9" s="4" t="e" vm="5">
        <v>#VALUE!</v>
      </c>
      <c r="B9" s="5" t="str">
        <f>ORDER!B10</f>
        <v>Coloured beeswax candle</v>
      </c>
      <c r="C9" s="5" t="str">
        <f>ORDER!C10</f>
        <v>Gold</v>
      </c>
      <c r="D9" s="5" t="str">
        <f>ORDER!D10</f>
        <v>130 × 10 mm</v>
      </c>
      <c r="E9" s="18">
        <v>10</v>
      </c>
      <c r="F9" s="35" t="s">
        <v>112</v>
      </c>
      <c r="G9" s="32">
        <f xmlns="http://schemas.openxmlformats.org/spreadsheetml/2006/main">ROUND(BASE_PRICES!B9*(1+DETAILS!$B$30)/DETAILS!$B$26,4)</f>
        <v>6.4</v>
      </c>
      <c r="H9" s="33">
        <f>BASE_PRICES!C9</f>
        <v>1</v>
      </c>
      <c r="I9" s="33">
        <f>BASE_PRICES!D9</f>
        <v>10</v>
      </c>
      <c r="J9" s="32" t="str">
        <f xmlns="http://schemas.openxmlformats.org/spreadsheetml/2006/main">IF(1&lt;BASE_PRICES!D9,"",IF(BASE_PRICES!F9="","",ROUND(BASE_PRICES!F9*(1+DETAILS!$B$30)/DETAILS!$B$26,4)))</f>
        <v>0</v>
      </c>
      <c r="K9" s="32" t="str">
        <f xmlns="http://schemas.openxmlformats.org/spreadsheetml/2006/main">IF(5&lt;BASE_PRICES!D9,"",IF(BASE_PRICES!G9="","",ROUND(BASE_PRICES!G9*(1+DETAILS!$B$30)/DETAILS!$B$26,4)))</f>
        <v>0</v>
      </c>
      <c r="L9" s="32">
        <f xmlns="http://schemas.openxmlformats.org/spreadsheetml/2006/main">IF(10&lt;BASE_PRICES!D9,"",IF(BASE_PRICES!H9="","",ROUND(BASE_PRICES!H9*(1+DETAILS!$B$30)/DETAILS!$B$26,4)))</f>
        <v>5.6959999999999997</v>
      </c>
      <c r="M9" s="32">
        <f xmlns="http://schemas.openxmlformats.org/spreadsheetml/2006/main">IF(20&lt;BASE_PRICES!D9,"",IF(BASE_PRICES!I9="","",ROUND(BASE_PRICES!I9*(1+DETAILS!$B$30)/DETAILS!$B$26,4)))</f>
        <v>5.3760000000000003</v>
      </c>
      <c r="N9" s="32">
        <f xmlns="http://schemas.openxmlformats.org/spreadsheetml/2006/main">IF(25&lt;BASE_PRICES!D9,"",IF(BASE_PRICES!J9="","",ROUND(BASE_PRICES!J9*(1+DETAILS!$B$30)/DETAILS!$B$26,4)))</f>
        <v>5.3760000000000003</v>
      </c>
      <c r="O9" s="32">
        <f xmlns="http://schemas.openxmlformats.org/spreadsheetml/2006/main">IF(30&lt;BASE_PRICES!D9,"",IF(BASE_PRICES!K9="","",ROUND(BASE_PRICES!K9*(1+DETAILS!$B$30)/DETAILS!$B$26,4)))</f>
        <v>5.3760000000000003</v>
      </c>
      <c r="P9" s="32">
        <f xmlns="http://schemas.openxmlformats.org/spreadsheetml/2006/main">IF(50&lt;BASE_PRICES!D9,"",IF(BASE_PRICES!L9="","",ROUND(BASE_PRICES!L9*(1+DETAILS!$B$30)/DETAILS!$B$26,4)))</f>
        <v>4.8639999999999999</v>
      </c>
      <c r="Q9" s="32">
        <f xmlns="http://schemas.openxmlformats.org/spreadsheetml/2006/main">IF(100&lt;BASE_PRICES!D9,"",IF(BASE_PRICES!M9="","",ROUND(BASE_PRICES!M9*(1+DETAILS!$B$30)/DETAILS!$B$26,4)))</f>
        <v>4.4800000000000004</v>
      </c>
      <c r="R9" s="32">
        <f xmlns="http://schemas.openxmlformats.org/spreadsheetml/2006/main">IF(250&lt;BASE_PRICES!D9,"",IF(BASE_PRICES!N9="","",ROUND(BASE_PRICES!N9*(1+DETAILS!$B$30)/DETAILS!$B$26,4)))</f>
        <v>4.2880000000000003</v>
      </c>
      <c r="S9" s="32">
        <f xmlns="http://schemas.openxmlformats.org/spreadsheetml/2006/main">IF(500&lt;BASE_PRICES!D9,"",IF(BASE_PRICES!O9="","",ROUND(BASE_PRICES!O9*(1+DETAILS!$B$30)/DETAILS!$B$26,4)))</f>
        <v>3.4</v>
      </c>
      <c r="T9" s="32">
        <f xmlns="http://schemas.openxmlformats.org/spreadsheetml/2006/main">IF(1000&lt;BASE_PRICES!D9,"",IF(BASE_PRICES!P9="","",ROUND(BASE_PRICES!P9*(1+DETAILS!$B$30)/DETAILS!$B$26,4)))</f>
        <v>3.2</v>
      </c>
      <c r="U9" s="23">
        <f>IF(ISNUMBER(ORDER!G10),IF(AND(ORDER!G10&gt;=I9,MOD(ORDER!G10,BASE_PRICES!E9)=0),MATCH(ORDER!G10,$J$4:$T$4,1),0),0)</f>
        <v>0</v>
      </c>
      <c r="V9" s="23" t="str">
        <f>IF(U9=0,"",IF(INDEX(BASE_PRICES!F9:P9,1,U9)="","",INDEX(BASE_PRICES!F9:P9,1,U9)))</f>
        <v/>
      </c>
      <c r="W9" s="20">
        <f>IF(ORDER!G10=0,0,IF(ISNUMBER(ORDER!H10),0,1))</f>
        <v>0</v>
      </c>
    </row>
    <row r="10" spans="1:23" ht="78" customHeight="1">
      <c r="A10" s="4" t="e" vm="6">
        <v>#VALUE!</v>
      </c>
      <c r="B10" s="1" t="str">
        <f>ORDER!B11</f>
        <v>Coloured beeswax candle</v>
      </c>
      <c r="C10" s="1" t="str">
        <f>ORDER!C11</f>
        <v>Brown</v>
      </c>
      <c r="D10" s="1" t="str">
        <f>ORDER!D11</f>
        <v>130 × 10 mm</v>
      </c>
      <c r="E10" s="19">
        <v>10</v>
      </c>
      <c r="F10" s="35" t="s">
        <v>113</v>
      </c>
      <c r="G10" s="32">
        <f xmlns="http://schemas.openxmlformats.org/spreadsheetml/2006/main">ROUND(BASE_PRICES!B10*(1+DETAILS!$B$30)/DETAILS!$B$26,4)</f>
        <v>5.2</v>
      </c>
      <c r="H10" s="33">
        <f>BASE_PRICES!C10</f>
        <v>1</v>
      </c>
      <c r="I10" s="33">
        <f>BASE_PRICES!D10</f>
        <v>10</v>
      </c>
      <c r="J10" s="32" t="str">
        <f xmlns="http://schemas.openxmlformats.org/spreadsheetml/2006/main">IF(1&lt;BASE_PRICES!D10,"",IF(BASE_PRICES!F10="","",ROUND(BASE_PRICES!F10*(1+DETAILS!$B$30)/DETAILS!$B$26,4)))</f>
        <v>0</v>
      </c>
      <c r="K10" s="32" t="str">
        <f xmlns="http://schemas.openxmlformats.org/spreadsheetml/2006/main">IF(5&lt;BASE_PRICES!D10,"",IF(BASE_PRICES!G10="","",ROUND(BASE_PRICES!G10*(1+DETAILS!$B$30)/DETAILS!$B$26,4)))</f>
        <v>0</v>
      </c>
      <c r="L10" s="32">
        <f xmlns="http://schemas.openxmlformats.org/spreadsheetml/2006/main">IF(10&lt;BASE_PRICES!D10,"",IF(BASE_PRICES!H10="","",ROUND(BASE_PRICES!H10*(1+DETAILS!$B$30)/DETAILS!$B$26,4)))</f>
        <v>4.4720000000000004</v>
      </c>
      <c r="M10" s="32">
        <f xmlns="http://schemas.openxmlformats.org/spreadsheetml/2006/main">IF(20&lt;BASE_PRICES!D10,"",IF(BASE_PRICES!I10="","",ROUND(BASE_PRICES!I10*(1+DETAILS!$B$30)/DETAILS!$B$26,4)))</f>
        <v>4.2119999999999997</v>
      </c>
      <c r="N10" s="32">
        <f xmlns="http://schemas.openxmlformats.org/spreadsheetml/2006/main">IF(25&lt;BASE_PRICES!D10,"",IF(BASE_PRICES!J10="","",ROUND(BASE_PRICES!J10*(1+DETAILS!$B$30)/DETAILS!$B$26,4)))</f>
        <v>4.2119999999999997</v>
      </c>
      <c r="O10" s="32">
        <f xmlns="http://schemas.openxmlformats.org/spreadsheetml/2006/main">IF(30&lt;BASE_PRICES!D10,"",IF(BASE_PRICES!K10="","",ROUND(BASE_PRICES!K10*(1+DETAILS!$B$30)/DETAILS!$B$26,4)))</f>
        <v>4.2119999999999997</v>
      </c>
      <c r="P10" s="32">
        <f xmlns="http://schemas.openxmlformats.org/spreadsheetml/2006/main">IF(50&lt;BASE_PRICES!D10,"",IF(BASE_PRICES!L10="","",ROUND(BASE_PRICES!L10*(1+DETAILS!$B$30)/DETAILS!$B$26,4)))</f>
        <v>3.8479999999999999</v>
      </c>
      <c r="Q10" s="32">
        <f xmlns="http://schemas.openxmlformats.org/spreadsheetml/2006/main">IF(100&lt;BASE_PRICES!D10,"",IF(BASE_PRICES!M10="","",ROUND(BASE_PRICES!M10*(1+DETAILS!$B$30)/DETAILS!$B$26,4)))</f>
        <v>3.64</v>
      </c>
      <c r="R10" s="32">
        <f xmlns="http://schemas.openxmlformats.org/spreadsheetml/2006/main">IF(250&lt;BASE_PRICES!D10,"",IF(BASE_PRICES!N10="","",ROUND(BASE_PRICES!N10*(1+DETAILS!$B$30)/DETAILS!$B$26,4)))</f>
        <v>3.484</v>
      </c>
      <c r="S10" s="32">
        <f xmlns="http://schemas.openxmlformats.org/spreadsheetml/2006/main">IF(500&lt;BASE_PRICES!D10,"",IF(BASE_PRICES!O10="","",ROUND(BASE_PRICES!O10*(1+DETAILS!$B$30)/DETAILS!$B$26,4)))</f>
        <v>3.4</v>
      </c>
      <c r="T10" s="32">
        <f xmlns="http://schemas.openxmlformats.org/spreadsheetml/2006/main">IF(1000&lt;BASE_PRICES!D10,"",IF(BASE_PRICES!P10="","",ROUND(BASE_PRICES!P10*(1+DETAILS!$B$30)/DETAILS!$B$26,4)))</f>
        <v>3.2</v>
      </c>
      <c r="U10" s="23">
        <f>IF(ISNUMBER(ORDER!G11),IF(AND(ORDER!G11&gt;=I10,MOD(ORDER!G11,BASE_PRICES!E10)=0),MATCH(ORDER!G11,$J$4:$T$4,1),0),0)</f>
        <v>0</v>
      </c>
      <c r="V10" s="23" t="str">
        <f>IF(U10=0,"",IF(INDEX(BASE_PRICES!F10:P10,1,U10)="","",INDEX(BASE_PRICES!F10:P10,1,U10)))</f>
        <v/>
      </c>
      <c r="W10" s="20">
        <f>IF(ORDER!G11=0,0,IF(ISNUMBER(ORDER!H11),0,1))</f>
        <v>0</v>
      </c>
    </row>
    <row r="11" spans="1:23" ht="78" customHeight="1">
      <c r="A11" s="4" t="e" vm="7">
        <v>#VALUE!</v>
      </c>
      <c r="B11" s="5" t="str">
        <f>ORDER!B12</f>
        <v>Coloured beeswax candle</v>
      </c>
      <c r="C11" s="5" t="str">
        <f>ORDER!C12</f>
        <v>Orange</v>
      </c>
      <c r="D11" s="5" t="str">
        <f>ORDER!D12</f>
        <v>130 × 10 mm</v>
      </c>
      <c r="E11" s="18">
        <v>10</v>
      </c>
      <c r="F11" s="35" t="s">
        <v>114</v>
      </c>
      <c r="G11" s="32">
        <f xmlns="http://schemas.openxmlformats.org/spreadsheetml/2006/main">ROUND(BASE_PRICES!B11*(1+DETAILS!$B$30)/DETAILS!$B$26,4)</f>
        <v>5.4</v>
      </c>
      <c r="H11" s="33">
        <f>BASE_PRICES!C11</f>
        <v>1</v>
      </c>
      <c r="I11" s="33">
        <f>BASE_PRICES!D11</f>
        <v>10</v>
      </c>
      <c r="J11" s="32" t="str">
        <f xmlns="http://schemas.openxmlformats.org/spreadsheetml/2006/main">IF(1&lt;BASE_PRICES!D11,"",IF(BASE_PRICES!F11="","",ROUND(BASE_PRICES!F11*(1+DETAILS!$B$30)/DETAILS!$B$26,4)))</f>
        <v>0</v>
      </c>
      <c r="K11" s="32" t="str">
        <f xmlns="http://schemas.openxmlformats.org/spreadsheetml/2006/main">IF(5&lt;BASE_PRICES!D11,"",IF(BASE_PRICES!G11="","",ROUND(BASE_PRICES!G11*(1+DETAILS!$B$30)/DETAILS!$B$26,4)))</f>
        <v>0</v>
      </c>
      <c r="L11" s="32">
        <f xmlns="http://schemas.openxmlformats.org/spreadsheetml/2006/main">IF(10&lt;BASE_PRICES!D11,"",IF(BASE_PRICES!H11="","",ROUND(BASE_PRICES!H11*(1+DETAILS!$B$30)/DETAILS!$B$26,4)))</f>
        <v>4.806</v>
      </c>
      <c r="M11" s="32">
        <f xmlns="http://schemas.openxmlformats.org/spreadsheetml/2006/main">IF(20&lt;BASE_PRICES!D11,"",IF(BASE_PRICES!I11="","",ROUND(BASE_PRICES!I11*(1+DETAILS!$B$30)/DETAILS!$B$26,4)))</f>
        <v>4.5359999999999996</v>
      </c>
      <c r="N11" s="32">
        <f xmlns="http://schemas.openxmlformats.org/spreadsheetml/2006/main">IF(25&lt;BASE_PRICES!D11,"",IF(BASE_PRICES!J11="","",ROUND(BASE_PRICES!J11*(1+DETAILS!$B$30)/DETAILS!$B$26,4)))</f>
        <v>4.5359999999999996</v>
      </c>
      <c r="O11" s="32">
        <f xmlns="http://schemas.openxmlformats.org/spreadsheetml/2006/main">IF(30&lt;BASE_PRICES!D11,"",IF(BASE_PRICES!K11="","",ROUND(BASE_PRICES!K11*(1+DETAILS!$B$30)/DETAILS!$B$26,4)))</f>
        <v>4.5359999999999996</v>
      </c>
      <c r="P11" s="32">
        <f xmlns="http://schemas.openxmlformats.org/spreadsheetml/2006/main">IF(50&lt;BASE_PRICES!D11,"",IF(BASE_PRICES!L11="","",ROUND(BASE_PRICES!L11*(1+DETAILS!$B$30)/DETAILS!$B$26,4)))</f>
        <v>3.996</v>
      </c>
      <c r="Q11" s="32">
        <f xmlns="http://schemas.openxmlformats.org/spreadsheetml/2006/main">IF(100&lt;BASE_PRICES!D11,"",IF(BASE_PRICES!M11="","",ROUND(BASE_PRICES!M11*(1+DETAILS!$B$30)/DETAILS!$B$26,4)))</f>
        <v>3.78</v>
      </c>
      <c r="R11" s="32">
        <f xmlns="http://schemas.openxmlformats.org/spreadsheetml/2006/main">IF(250&lt;BASE_PRICES!D11,"",IF(BASE_PRICES!N11="","",ROUND(BASE_PRICES!N11*(1+DETAILS!$B$30)/DETAILS!$B$26,4)))</f>
        <v>3.6179999999999999</v>
      </c>
      <c r="S11" s="32">
        <f xmlns="http://schemas.openxmlformats.org/spreadsheetml/2006/main">IF(500&lt;BASE_PRICES!D11,"",IF(BASE_PRICES!O11="","",ROUND(BASE_PRICES!O11*(1+DETAILS!$B$30)/DETAILS!$B$26,4)))</f>
        <v>3.4</v>
      </c>
      <c r="T11" s="32">
        <f xmlns="http://schemas.openxmlformats.org/spreadsheetml/2006/main">IF(1000&lt;BASE_PRICES!D11,"",IF(BASE_PRICES!P11="","",ROUND(BASE_PRICES!P11*(1+DETAILS!$B$30)/DETAILS!$B$26,4)))</f>
        <v>3.2</v>
      </c>
      <c r="U11" s="23">
        <f>IF(ISNUMBER(ORDER!G12),IF(AND(ORDER!G12&gt;=I11,MOD(ORDER!G12,BASE_PRICES!E11)=0),MATCH(ORDER!G12,$J$4:$T$4,1),0),0)</f>
        <v>0</v>
      </c>
      <c r="V11" s="23" t="str">
        <f>IF(U11=0,"",IF(INDEX(BASE_PRICES!F11:P11,1,U11)="","",INDEX(BASE_PRICES!F11:P11,1,U11)))</f>
        <v/>
      </c>
      <c r="W11" s="20">
        <f>IF(ORDER!G12=0,0,IF(ISNUMBER(ORDER!H12),0,1))</f>
        <v>0</v>
      </c>
    </row>
    <row r="12" spans="1:23" ht="78" customHeight="1">
      <c r="A12" s="4" t="e" vm="8">
        <v>#VALUE!</v>
      </c>
      <c r="B12" s="1" t="str">
        <f>ORDER!B13</f>
        <v>Coloured beeswax candle</v>
      </c>
      <c r="C12" s="1" t="str">
        <f>ORDER!C13</f>
        <v>Pink</v>
      </c>
      <c r="D12" s="1" t="str">
        <f>ORDER!D13</f>
        <v>130 × 10 mm</v>
      </c>
      <c r="E12" s="19">
        <v>10</v>
      </c>
      <c r="F12" s="35" t="s">
        <v>115</v>
      </c>
      <c r="G12" s="32">
        <f xmlns="http://schemas.openxmlformats.org/spreadsheetml/2006/main">ROUND(BASE_PRICES!B12*(1+DETAILS!$B$30)/DETAILS!$B$26,4)</f>
        <v>6.1</v>
      </c>
      <c r="H12" s="33">
        <f>BASE_PRICES!C12</f>
        <v>1</v>
      </c>
      <c r="I12" s="33">
        <f>BASE_PRICES!D12</f>
        <v>10</v>
      </c>
      <c r="J12" s="32" t="str">
        <f xmlns="http://schemas.openxmlformats.org/spreadsheetml/2006/main">IF(1&lt;BASE_PRICES!D12,"",IF(BASE_PRICES!F12="","",ROUND(BASE_PRICES!F12*(1+DETAILS!$B$30)/DETAILS!$B$26,4)))</f>
        <v>0</v>
      </c>
      <c r="K12" s="32" t="str">
        <f xmlns="http://schemas.openxmlformats.org/spreadsheetml/2006/main">IF(5&lt;BASE_PRICES!D12,"",IF(BASE_PRICES!G12="","",ROUND(BASE_PRICES!G12*(1+DETAILS!$B$30)/DETAILS!$B$26,4)))</f>
        <v>0</v>
      </c>
      <c r="L12" s="32">
        <f xmlns="http://schemas.openxmlformats.org/spreadsheetml/2006/main">IF(10&lt;BASE_PRICES!D12,"",IF(BASE_PRICES!H12="","",ROUND(BASE_PRICES!H12*(1+DETAILS!$B$30)/DETAILS!$B$26,4)))</f>
        <v>5.4290000000000003</v>
      </c>
      <c r="M12" s="32">
        <f xmlns="http://schemas.openxmlformats.org/spreadsheetml/2006/main">IF(20&lt;BASE_PRICES!D12,"",IF(BASE_PRICES!I12="","",ROUND(BASE_PRICES!I12*(1+DETAILS!$B$30)/DETAILS!$B$26,4)))</f>
        <v>5.1230000000000002</v>
      </c>
      <c r="N12" s="32">
        <f xmlns="http://schemas.openxmlformats.org/spreadsheetml/2006/main">IF(25&lt;BASE_PRICES!D12,"",IF(BASE_PRICES!J12="","",ROUND(BASE_PRICES!J12*(1+DETAILS!$B$30)/DETAILS!$B$26,4)))</f>
        <v>5.1230000000000002</v>
      </c>
      <c r="O12" s="32">
        <f xmlns="http://schemas.openxmlformats.org/spreadsheetml/2006/main">IF(30&lt;BASE_PRICES!D12,"",IF(BASE_PRICES!K12="","",ROUND(BASE_PRICES!K12*(1+DETAILS!$B$30)/DETAILS!$B$26,4)))</f>
        <v>5.1230000000000002</v>
      </c>
      <c r="P12" s="32">
        <f xmlns="http://schemas.openxmlformats.org/spreadsheetml/2006/main">IF(50&lt;BASE_PRICES!D12,"",IF(BASE_PRICES!L12="","",ROUND(BASE_PRICES!L12*(1+DETAILS!$B$30)/DETAILS!$B$26,4)))</f>
        <v>4.6360000000000001</v>
      </c>
      <c r="Q12" s="32">
        <f xmlns="http://schemas.openxmlformats.org/spreadsheetml/2006/main">IF(100&lt;BASE_PRICES!D12,"",IF(BASE_PRICES!M12="","",ROUND(BASE_PRICES!M12*(1+DETAILS!$B$30)/DETAILS!$B$26,4)))</f>
        <v>4.2699999999999996</v>
      </c>
      <c r="R12" s="32">
        <f xmlns="http://schemas.openxmlformats.org/spreadsheetml/2006/main">IF(250&lt;BASE_PRICES!D12,"",IF(BASE_PRICES!N12="","",ROUND(BASE_PRICES!N12*(1+DETAILS!$B$30)/DETAILS!$B$26,4)))</f>
        <v>4.0869999999999997</v>
      </c>
      <c r="S12" s="32">
        <f xmlns="http://schemas.openxmlformats.org/spreadsheetml/2006/main">IF(500&lt;BASE_PRICES!D12,"",IF(BASE_PRICES!O12="","",ROUND(BASE_PRICES!O12*(1+DETAILS!$B$30)/DETAILS!$B$26,4)))</f>
        <v>3.4</v>
      </c>
      <c r="T12" s="32">
        <f xmlns="http://schemas.openxmlformats.org/spreadsheetml/2006/main">IF(1000&lt;BASE_PRICES!D12,"",IF(BASE_PRICES!P12="","",ROUND(BASE_PRICES!P12*(1+DETAILS!$B$30)/DETAILS!$B$26,4)))</f>
        <v>3.2</v>
      </c>
      <c r="U12" s="23">
        <f>IF(ISNUMBER(ORDER!G13),IF(AND(ORDER!G13&gt;=I12,MOD(ORDER!G13,BASE_PRICES!E12)=0),MATCH(ORDER!G13,$J$4:$T$4,1),0),0)</f>
        <v>0</v>
      </c>
      <c r="V12" s="23" t="str">
        <f>IF(U12=0,"",IF(INDEX(BASE_PRICES!F12:P12,1,U12)="","",INDEX(BASE_PRICES!F12:P12,1,U12)))</f>
        <v/>
      </c>
      <c r="W12" s="20">
        <f>IF(ORDER!G13=0,0,IF(ISNUMBER(ORDER!H13),0,1))</f>
        <v>0</v>
      </c>
    </row>
    <row r="13" spans="1:23" ht="78" customHeight="1">
      <c r="A13" s="4" t="e" vm="9">
        <v>#VALUE!</v>
      </c>
      <c r="B13" s="5" t="str">
        <f>ORDER!B14</f>
        <v>Coloured beeswax candle</v>
      </c>
      <c r="C13" s="5" t="str">
        <f>ORDER!C14</f>
        <v>Blue</v>
      </c>
      <c r="D13" s="5" t="str">
        <f>ORDER!D14</f>
        <v>130 × 10 mm</v>
      </c>
      <c r="E13" s="18">
        <v>10</v>
      </c>
      <c r="F13" s="35" t="s">
        <v>116</v>
      </c>
      <c r="G13" s="32">
        <f xmlns="http://schemas.openxmlformats.org/spreadsheetml/2006/main">ROUND(BASE_PRICES!B13*(1+DETAILS!$B$30)/DETAILS!$B$26,4)</f>
        <v>6.1</v>
      </c>
      <c r="H13" s="33">
        <f>BASE_PRICES!C13</f>
        <v>1</v>
      </c>
      <c r="I13" s="33">
        <f>BASE_PRICES!D13</f>
        <v>10</v>
      </c>
      <c r="J13" s="32" t="str">
        <f xmlns="http://schemas.openxmlformats.org/spreadsheetml/2006/main">IF(1&lt;BASE_PRICES!D13,"",IF(BASE_PRICES!F13="","",ROUND(BASE_PRICES!F13*(1+DETAILS!$B$30)/DETAILS!$B$26,4)))</f>
        <v>0</v>
      </c>
      <c r="K13" s="32" t="str">
        <f xmlns="http://schemas.openxmlformats.org/spreadsheetml/2006/main">IF(5&lt;BASE_PRICES!D13,"",IF(BASE_PRICES!G13="","",ROUND(BASE_PRICES!G13*(1+DETAILS!$B$30)/DETAILS!$B$26,4)))</f>
        <v>0</v>
      </c>
      <c r="L13" s="32">
        <f xmlns="http://schemas.openxmlformats.org/spreadsheetml/2006/main">IF(10&lt;BASE_PRICES!D13,"",IF(BASE_PRICES!H13="","",ROUND(BASE_PRICES!H13*(1+DETAILS!$B$30)/DETAILS!$B$26,4)))</f>
        <v>5.4290000000000003</v>
      </c>
      <c r="M13" s="32">
        <f xmlns="http://schemas.openxmlformats.org/spreadsheetml/2006/main">IF(20&lt;BASE_PRICES!D13,"",IF(BASE_PRICES!I13="","",ROUND(BASE_PRICES!I13*(1+DETAILS!$B$30)/DETAILS!$B$26,4)))</f>
        <v>5.1239999999999997</v>
      </c>
      <c r="N13" s="32">
        <f xmlns="http://schemas.openxmlformats.org/spreadsheetml/2006/main">IF(25&lt;BASE_PRICES!D13,"",IF(BASE_PRICES!J13="","",ROUND(BASE_PRICES!J13*(1+DETAILS!$B$30)/DETAILS!$B$26,4)))</f>
        <v>5.1239999999999997</v>
      </c>
      <c r="O13" s="32">
        <f xmlns="http://schemas.openxmlformats.org/spreadsheetml/2006/main">IF(30&lt;BASE_PRICES!D13,"",IF(BASE_PRICES!K13="","",ROUND(BASE_PRICES!K13*(1+DETAILS!$B$30)/DETAILS!$B$26,4)))</f>
        <v>5.1239999999999997</v>
      </c>
      <c r="P13" s="32">
        <f xmlns="http://schemas.openxmlformats.org/spreadsheetml/2006/main">IF(50&lt;BASE_PRICES!D13,"",IF(BASE_PRICES!L13="","",ROUND(BASE_PRICES!L13*(1+DETAILS!$B$30)/DETAILS!$B$26,4)))</f>
        <v>4.6360000000000001</v>
      </c>
      <c r="Q13" s="32">
        <f xmlns="http://schemas.openxmlformats.org/spreadsheetml/2006/main">IF(100&lt;BASE_PRICES!D13,"",IF(BASE_PRICES!M13="","",ROUND(BASE_PRICES!M13*(1+DETAILS!$B$30)/DETAILS!$B$26,4)))</f>
        <v>4.2699999999999996</v>
      </c>
      <c r="R13" s="32">
        <f xmlns="http://schemas.openxmlformats.org/spreadsheetml/2006/main">IF(250&lt;BASE_PRICES!D13,"",IF(BASE_PRICES!N13="","",ROUND(BASE_PRICES!N13*(1+DETAILS!$B$30)/DETAILS!$B$26,4)))</f>
        <v>4.0869999999999997</v>
      </c>
      <c r="S13" s="32">
        <f xmlns="http://schemas.openxmlformats.org/spreadsheetml/2006/main">IF(500&lt;BASE_PRICES!D13,"",IF(BASE_PRICES!O13="","",ROUND(BASE_PRICES!O13*(1+DETAILS!$B$30)/DETAILS!$B$26,4)))</f>
        <v>3.4</v>
      </c>
      <c r="T13" s="32">
        <f xmlns="http://schemas.openxmlformats.org/spreadsheetml/2006/main">IF(1000&lt;BASE_PRICES!D13,"",IF(BASE_PRICES!P13="","",ROUND(BASE_PRICES!P13*(1+DETAILS!$B$30)/DETAILS!$B$26,4)))</f>
        <v>3.2</v>
      </c>
      <c r="U13" s="23">
        <f>IF(ISNUMBER(ORDER!G14),IF(AND(ORDER!G14&gt;=I13,MOD(ORDER!G14,BASE_PRICES!E13)=0),MATCH(ORDER!G14,$J$4:$T$4,1),0),0)</f>
        <v>0</v>
      </c>
      <c r="V13" s="23" t="str">
        <f>IF(U13=0,"",IF(INDEX(BASE_PRICES!F13:P13,1,U13)="","",INDEX(BASE_PRICES!F13:P13,1,U13)))</f>
        <v/>
      </c>
      <c r="W13" s="20">
        <f>IF(ORDER!G14=0,0,IF(ISNUMBER(ORDER!H14),0,1))</f>
        <v>0</v>
      </c>
    </row>
    <row r="14" spans="1:23" ht="78" customHeight="1">
      <c r="A14" s="4" t="e" vm="10">
        <v>#VALUE!</v>
      </c>
      <c r="B14" s="1" t="str">
        <f>ORDER!B15</f>
        <v>Coloured beeswax candle</v>
      </c>
      <c r="C14" s="1" t="str">
        <f>ORDER!C15</f>
        <v>Silver</v>
      </c>
      <c r="D14" s="1" t="str">
        <f>ORDER!D15</f>
        <v>130 × 10 mm</v>
      </c>
      <c r="E14" s="19">
        <v>10</v>
      </c>
      <c r="F14" s="35" t="s">
        <v>117</v>
      </c>
      <c r="G14" s="32">
        <f xmlns="http://schemas.openxmlformats.org/spreadsheetml/2006/main">ROUND(BASE_PRICES!B14*(1+DETAILS!$B$30)/DETAILS!$B$26,4)</f>
        <v>6.4</v>
      </c>
      <c r="H14" s="33">
        <f>BASE_PRICES!C14</f>
        <v>1</v>
      </c>
      <c r="I14" s="33">
        <f>BASE_PRICES!D14</f>
        <v>10</v>
      </c>
      <c r="J14" s="32" t="str">
        <f xmlns="http://schemas.openxmlformats.org/spreadsheetml/2006/main">IF(1&lt;BASE_PRICES!D14,"",IF(BASE_PRICES!F14="","",ROUND(BASE_PRICES!F14*(1+DETAILS!$B$30)/DETAILS!$B$26,4)))</f>
        <v>0</v>
      </c>
      <c r="K14" s="32" t="str">
        <f xmlns="http://schemas.openxmlformats.org/spreadsheetml/2006/main">IF(5&lt;BASE_PRICES!D14,"",IF(BASE_PRICES!G14="","",ROUND(BASE_PRICES!G14*(1+DETAILS!$B$30)/DETAILS!$B$26,4)))</f>
        <v>0</v>
      </c>
      <c r="L14" s="32">
        <f xmlns="http://schemas.openxmlformats.org/spreadsheetml/2006/main">IF(10&lt;BASE_PRICES!D14,"",IF(BASE_PRICES!H14="","",ROUND(BASE_PRICES!H14*(1+DETAILS!$B$30)/DETAILS!$B$26,4)))</f>
        <v>5.6959999999999997</v>
      </c>
      <c r="M14" s="32">
        <f xmlns="http://schemas.openxmlformats.org/spreadsheetml/2006/main">IF(20&lt;BASE_PRICES!D14,"",IF(BASE_PRICES!I14="","",ROUND(BASE_PRICES!I14*(1+DETAILS!$B$30)/DETAILS!$B$26,4)))</f>
        <v>5.3760000000000003</v>
      </c>
      <c r="N14" s="32">
        <f xmlns="http://schemas.openxmlformats.org/spreadsheetml/2006/main">IF(25&lt;BASE_PRICES!D14,"",IF(BASE_PRICES!J14="","",ROUND(BASE_PRICES!J14*(1+DETAILS!$B$30)/DETAILS!$B$26,4)))</f>
        <v>5.3760000000000003</v>
      </c>
      <c r="O14" s="32">
        <f xmlns="http://schemas.openxmlformats.org/spreadsheetml/2006/main">IF(30&lt;BASE_PRICES!D14,"",IF(BASE_PRICES!K14="","",ROUND(BASE_PRICES!K14*(1+DETAILS!$B$30)/DETAILS!$B$26,4)))</f>
        <v>5.3760000000000003</v>
      </c>
      <c r="P14" s="32">
        <f xmlns="http://schemas.openxmlformats.org/spreadsheetml/2006/main">IF(50&lt;BASE_PRICES!D14,"",IF(BASE_PRICES!L14="","",ROUND(BASE_PRICES!L14*(1+DETAILS!$B$30)/DETAILS!$B$26,4)))</f>
        <v>4.8639999999999999</v>
      </c>
      <c r="Q14" s="32">
        <f xmlns="http://schemas.openxmlformats.org/spreadsheetml/2006/main">IF(100&lt;BASE_PRICES!D14,"",IF(BASE_PRICES!M14="","",ROUND(BASE_PRICES!M14*(1+DETAILS!$B$30)/DETAILS!$B$26,4)))</f>
        <v>4.4800000000000004</v>
      </c>
      <c r="R14" s="32">
        <f xmlns="http://schemas.openxmlformats.org/spreadsheetml/2006/main">IF(250&lt;BASE_PRICES!D14,"",IF(BASE_PRICES!N14="","",ROUND(BASE_PRICES!N14*(1+DETAILS!$B$30)/DETAILS!$B$26,4)))</f>
        <v>4.2880000000000003</v>
      </c>
      <c r="S14" s="32">
        <f xmlns="http://schemas.openxmlformats.org/spreadsheetml/2006/main">IF(500&lt;BASE_PRICES!D14,"",IF(BASE_PRICES!O14="","",ROUND(BASE_PRICES!O14*(1+DETAILS!$B$30)/DETAILS!$B$26,4)))</f>
        <v>3.4</v>
      </c>
      <c r="T14" s="32">
        <f xmlns="http://schemas.openxmlformats.org/spreadsheetml/2006/main">IF(1000&lt;BASE_PRICES!D14,"",IF(BASE_PRICES!P14="","",ROUND(BASE_PRICES!P14*(1+DETAILS!$B$30)/DETAILS!$B$26,4)))</f>
        <v>3.2</v>
      </c>
      <c r="U14" s="23">
        <f>IF(ISNUMBER(ORDER!G15),IF(AND(ORDER!G15&gt;=I14,MOD(ORDER!G15,BASE_PRICES!E14)=0),MATCH(ORDER!G15,$J$4:$T$4,1),0),0)</f>
        <v>0</v>
      </c>
      <c r="V14" s="23" t="str">
        <f>IF(U14=0,"",IF(INDEX(BASE_PRICES!F14:P14,1,U14)="","",INDEX(BASE_PRICES!F14:P14,1,U14)))</f>
        <v/>
      </c>
      <c r="W14" s="20">
        <f>IF(ORDER!G15=0,0,IF(ISNUMBER(ORDER!H15),0,1))</f>
        <v>0</v>
      </c>
    </row>
    <row r="15" spans="1:23" ht="78" customHeight="1">
      <c r="A15" s="4" t="e" vm="11">
        <v>#VALUE!</v>
      </c>
      <c r="B15" s="5" t="str">
        <f>ORDER!B16</f>
        <v>Coloured beeswax candle</v>
      </c>
      <c r="C15" s="5" t="str">
        <f>ORDER!C16</f>
        <v>Purple</v>
      </c>
      <c r="D15" s="5" t="str">
        <f>ORDER!D16</f>
        <v>130 × 10 mm</v>
      </c>
      <c r="E15" s="18">
        <v>10</v>
      </c>
      <c r="F15" s="35" t="s">
        <v>118</v>
      </c>
      <c r="G15" s="32">
        <f xmlns="http://schemas.openxmlformats.org/spreadsheetml/2006/main">ROUND(BASE_PRICES!B15*(1+DETAILS!$B$30)/DETAILS!$B$26,4)</f>
        <v>5.9</v>
      </c>
      <c r="H15" s="33">
        <f>BASE_PRICES!C15</f>
        <v>1</v>
      </c>
      <c r="I15" s="33">
        <f>BASE_PRICES!D15</f>
        <v>10</v>
      </c>
      <c r="J15" s="32" t="str">
        <f xmlns="http://schemas.openxmlformats.org/spreadsheetml/2006/main">IF(1&lt;BASE_PRICES!D15,"",IF(BASE_PRICES!F15="","",ROUND(BASE_PRICES!F15*(1+DETAILS!$B$30)/DETAILS!$B$26,4)))</f>
        <v>0</v>
      </c>
      <c r="K15" s="32" t="str">
        <f xmlns="http://schemas.openxmlformats.org/spreadsheetml/2006/main">IF(5&lt;BASE_PRICES!D15,"",IF(BASE_PRICES!G15="","",ROUND(BASE_PRICES!G15*(1+DETAILS!$B$30)/DETAILS!$B$26,4)))</f>
        <v>0</v>
      </c>
      <c r="L15" s="32">
        <f xmlns="http://schemas.openxmlformats.org/spreadsheetml/2006/main">IF(10&lt;BASE_PRICES!D15,"",IF(BASE_PRICES!H15="","",ROUND(BASE_PRICES!H15*(1+DETAILS!$B$30)/DETAILS!$B$26,4)))</f>
        <v>5.2460000000000004</v>
      </c>
      <c r="M15" s="32">
        <f xmlns="http://schemas.openxmlformats.org/spreadsheetml/2006/main">IF(20&lt;BASE_PRICES!D15,"",IF(BASE_PRICES!I15="","",ROUND(BASE_PRICES!I15*(1+DETAILS!$B$30)/DETAILS!$B$26,4)))</f>
        <v>4.9494999999999996</v>
      </c>
      <c r="N15" s="32">
        <f xmlns="http://schemas.openxmlformats.org/spreadsheetml/2006/main">IF(25&lt;BASE_PRICES!D15,"",IF(BASE_PRICES!J15="","",ROUND(BASE_PRICES!J15*(1+DETAILS!$B$30)/DETAILS!$B$26,4)))</f>
        <v>4.9494999999999996</v>
      </c>
      <c r="O15" s="32">
        <f xmlns="http://schemas.openxmlformats.org/spreadsheetml/2006/main">IF(30&lt;BASE_PRICES!D15,"",IF(BASE_PRICES!K15="","",ROUND(BASE_PRICES!K15*(1+DETAILS!$B$30)/DETAILS!$B$26,4)))</f>
        <v>4.9494999999999996</v>
      </c>
      <c r="P15" s="32">
        <f xmlns="http://schemas.openxmlformats.org/spreadsheetml/2006/main">IF(50&lt;BASE_PRICES!D15,"",IF(BASE_PRICES!L15="","",ROUND(BASE_PRICES!L15*(1+DETAILS!$B$30)/DETAILS!$B$26,4)))</f>
        <v>4.4997999999999996</v>
      </c>
      <c r="Q15" s="32">
        <f xmlns="http://schemas.openxmlformats.org/spreadsheetml/2006/main">IF(100&lt;BASE_PRICES!D15,"",IF(BASE_PRICES!M15="","",ROUND(BASE_PRICES!M15*(1+DETAILS!$B$30)/DETAILS!$B$26,4)))</f>
        <v>4.13</v>
      </c>
      <c r="R15" s="32">
        <f xmlns="http://schemas.openxmlformats.org/spreadsheetml/2006/main">IF(250&lt;BASE_PRICES!D15,"",IF(BASE_PRICES!N15="","",ROUND(BASE_PRICES!N15*(1+DETAILS!$B$30)/DETAILS!$B$26,4)))</f>
        <v>3.9529999999999998</v>
      </c>
      <c r="S15" s="32">
        <f xmlns="http://schemas.openxmlformats.org/spreadsheetml/2006/main">IF(500&lt;BASE_PRICES!D15,"",IF(BASE_PRICES!O15="","",ROUND(BASE_PRICES!O15*(1+DETAILS!$B$30)/DETAILS!$B$26,4)))</f>
        <v>3.4</v>
      </c>
      <c r="T15" s="32">
        <f xmlns="http://schemas.openxmlformats.org/spreadsheetml/2006/main">IF(1000&lt;BASE_PRICES!D15,"",IF(BASE_PRICES!P15="","",ROUND(BASE_PRICES!P15*(1+DETAILS!$B$30)/DETAILS!$B$26,4)))</f>
        <v>3.2</v>
      </c>
      <c r="U15" s="23">
        <f>IF(ISNUMBER(ORDER!G16),IF(AND(ORDER!G16&gt;=I15,MOD(ORDER!G16,BASE_PRICES!E15)=0),MATCH(ORDER!G16,$J$4:$T$4,1),0),0)</f>
        <v>0</v>
      </c>
      <c r="V15" s="23" t="str">
        <f>IF(U15=0,"",IF(INDEX(BASE_PRICES!F15:P15,1,U15)="","",INDEX(BASE_PRICES!F15:P15,1,U15)))</f>
        <v/>
      </c>
      <c r="W15" s="20">
        <f>IF(ORDER!G16=0,0,IF(ISNUMBER(ORDER!H16),0,1))</f>
        <v>0</v>
      </c>
    </row>
    <row r="16" spans="1:23" ht="78" customHeight="1">
      <c r="A16" s="4" t="e" vm="12">
        <v>#VALUE!</v>
      </c>
      <c r="B16" s="1" t="str">
        <f>ORDER!B17</f>
        <v>Coloured beeswax candle</v>
      </c>
      <c r="C16" s="1" t="str">
        <f>ORDER!C17</f>
        <v>Red</v>
      </c>
      <c r="D16" s="1" t="str">
        <f>ORDER!D17</f>
        <v>130 × 10 mm</v>
      </c>
      <c r="E16" s="19">
        <v>10</v>
      </c>
      <c r="F16" s="35" t="s">
        <v>119</v>
      </c>
      <c r="G16" s="32">
        <f xmlns="http://schemas.openxmlformats.org/spreadsheetml/2006/main">ROUND(BASE_PRICES!B16*(1+DETAILS!$B$30)/DETAILS!$B$26,4)</f>
        <v>5.4</v>
      </c>
      <c r="H16" s="33">
        <f>BASE_PRICES!C16</f>
        <v>1</v>
      </c>
      <c r="I16" s="33">
        <f>BASE_PRICES!D16</f>
        <v>10</v>
      </c>
      <c r="J16" s="32" t="str">
        <f xmlns="http://schemas.openxmlformats.org/spreadsheetml/2006/main">IF(1&lt;BASE_PRICES!D16,"",IF(BASE_PRICES!F16="","",ROUND(BASE_PRICES!F16*(1+DETAILS!$B$30)/DETAILS!$B$26,4)))</f>
        <v>0</v>
      </c>
      <c r="K16" s="32" t="str">
        <f xmlns="http://schemas.openxmlformats.org/spreadsheetml/2006/main">IF(5&lt;BASE_PRICES!D16,"",IF(BASE_PRICES!G16="","",ROUND(BASE_PRICES!G16*(1+DETAILS!$B$30)/DETAILS!$B$26,4)))</f>
        <v>0</v>
      </c>
      <c r="L16" s="32">
        <f xmlns="http://schemas.openxmlformats.org/spreadsheetml/2006/main">IF(10&lt;BASE_PRICES!D16,"",IF(BASE_PRICES!H16="","",ROUND(BASE_PRICES!H16*(1+DETAILS!$B$30)/DETAILS!$B$26,4)))</f>
        <v>4.806</v>
      </c>
      <c r="M16" s="32">
        <f xmlns="http://schemas.openxmlformats.org/spreadsheetml/2006/main">IF(20&lt;BASE_PRICES!D16,"",IF(BASE_PRICES!I16="","",ROUND(BASE_PRICES!I16*(1+DETAILS!$B$30)/DETAILS!$B$26,4)))</f>
        <v>4.5359999999999996</v>
      </c>
      <c r="N16" s="32">
        <f xmlns="http://schemas.openxmlformats.org/spreadsheetml/2006/main">IF(25&lt;BASE_PRICES!D16,"",IF(BASE_PRICES!J16="","",ROUND(BASE_PRICES!J16*(1+DETAILS!$B$30)/DETAILS!$B$26,4)))</f>
        <v>4.5359999999999996</v>
      </c>
      <c r="O16" s="32">
        <f xmlns="http://schemas.openxmlformats.org/spreadsheetml/2006/main">IF(30&lt;BASE_PRICES!D16,"",IF(BASE_PRICES!K16="","",ROUND(BASE_PRICES!K16*(1+DETAILS!$B$30)/DETAILS!$B$26,4)))</f>
        <v>4.5359999999999996</v>
      </c>
      <c r="P16" s="32">
        <f xmlns="http://schemas.openxmlformats.org/spreadsheetml/2006/main">IF(50&lt;BASE_PRICES!D16,"",IF(BASE_PRICES!L16="","",ROUND(BASE_PRICES!L16*(1+DETAILS!$B$30)/DETAILS!$B$26,4)))</f>
        <v>4.1040000000000001</v>
      </c>
      <c r="Q16" s="32">
        <f xmlns="http://schemas.openxmlformats.org/spreadsheetml/2006/main">IF(100&lt;BASE_PRICES!D16,"",IF(BASE_PRICES!M16="","",ROUND(BASE_PRICES!M16*(1+DETAILS!$B$30)/DETAILS!$B$26,4)))</f>
        <v>3.78</v>
      </c>
      <c r="R16" s="32">
        <f xmlns="http://schemas.openxmlformats.org/spreadsheetml/2006/main">IF(250&lt;BASE_PRICES!D16,"",IF(BASE_PRICES!N16="","",ROUND(BASE_PRICES!N16*(1+DETAILS!$B$30)/DETAILS!$B$26,4)))</f>
        <v>3.6179999999999999</v>
      </c>
      <c r="S16" s="32">
        <f xmlns="http://schemas.openxmlformats.org/spreadsheetml/2006/main">IF(500&lt;BASE_PRICES!D16,"",IF(BASE_PRICES!O16="","",ROUND(BASE_PRICES!O16*(1+DETAILS!$B$30)/DETAILS!$B$26,4)))</f>
        <v>3.4</v>
      </c>
      <c r="T16" s="32">
        <f xmlns="http://schemas.openxmlformats.org/spreadsheetml/2006/main">IF(1000&lt;BASE_PRICES!D16,"",IF(BASE_PRICES!P16="","",ROUND(BASE_PRICES!P16*(1+DETAILS!$B$30)/DETAILS!$B$26,4)))</f>
        <v>3.2</v>
      </c>
      <c r="U16" s="23">
        <f>IF(ISNUMBER(ORDER!G17),IF(AND(ORDER!G17&gt;=I16,MOD(ORDER!G17,BASE_PRICES!E16)=0),MATCH(ORDER!G17,$J$4:$T$4,1),0),0)</f>
        <v>0</v>
      </c>
      <c r="V16" s="23" t="str">
        <f>IF(U16=0,"",IF(INDEX(BASE_PRICES!F16:P16,1,U16)="","",INDEX(BASE_PRICES!F16:P16,1,U16)))</f>
        <v/>
      </c>
      <c r="W16" s="20">
        <f>IF(ORDER!G17=0,0,IF(ISNUMBER(ORDER!H17),0,1))</f>
        <v>0</v>
      </c>
    </row>
    <row r="17" spans="1:23" ht="78" customHeight="1">
      <c r="A17" s="4" t="e" vm="13">
        <v>#VALUE!</v>
      </c>
      <c r="B17" s="5" t="str">
        <f>ORDER!B18</f>
        <v>Coloured beeswax candle</v>
      </c>
      <c r="C17" s="5" t="str">
        <f>ORDER!C18</f>
        <v>Black</v>
      </c>
      <c r="D17" s="5" t="str">
        <f>ORDER!D18</f>
        <v>130 × 10 mm</v>
      </c>
      <c r="E17" s="18">
        <v>10</v>
      </c>
      <c r="F17" s="35" t="s">
        <v>120</v>
      </c>
      <c r="G17" s="32">
        <f xmlns="http://schemas.openxmlformats.org/spreadsheetml/2006/main">ROUND(BASE_PRICES!B17*(1+DETAILS!$B$30)/DETAILS!$B$26,4)</f>
        <v>5.9</v>
      </c>
      <c r="H17" s="33">
        <f>BASE_PRICES!C17</f>
        <v>1</v>
      </c>
      <c r="I17" s="33">
        <f>BASE_PRICES!D17</f>
        <v>10</v>
      </c>
      <c r="J17" s="32" t="str">
        <f xmlns="http://schemas.openxmlformats.org/spreadsheetml/2006/main">IF(1&lt;BASE_PRICES!D17,"",IF(BASE_PRICES!F17="","",ROUND(BASE_PRICES!F17*(1+DETAILS!$B$30)/DETAILS!$B$26,4)))</f>
        <v>0</v>
      </c>
      <c r="K17" s="32" t="str">
        <f xmlns="http://schemas.openxmlformats.org/spreadsheetml/2006/main">IF(5&lt;BASE_PRICES!D17,"",IF(BASE_PRICES!G17="","",ROUND(BASE_PRICES!G17*(1+DETAILS!$B$30)/DETAILS!$B$26,4)))</f>
        <v>0</v>
      </c>
      <c r="L17" s="32">
        <f xmlns="http://schemas.openxmlformats.org/spreadsheetml/2006/main">IF(10&lt;BASE_PRICES!D17,"",IF(BASE_PRICES!H17="","",ROUND(BASE_PRICES!H17*(1+DETAILS!$B$30)/DETAILS!$B$26,4)))</f>
        <v>5.2460000000000004</v>
      </c>
      <c r="M17" s="32">
        <f xmlns="http://schemas.openxmlformats.org/spreadsheetml/2006/main">IF(20&lt;BASE_PRICES!D17,"",IF(BASE_PRICES!I17="","",ROUND(BASE_PRICES!I17*(1+DETAILS!$B$30)/DETAILS!$B$26,4)))</f>
        <v>4.9494999999999996</v>
      </c>
      <c r="N17" s="32">
        <f xmlns="http://schemas.openxmlformats.org/spreadsheetml/2006/main">IF(25&lt;BASE_PRICES!D17,"",IF(BASE_PRICES!J17="","",ROUND(BASE_PRICES!J17*(1+DETAILS!$B$30)/DETAILS!$B$26,4)))</f>
        <v>4.9494999999999996</v>
      </c>
      <c r="O17" s="32">
        <f xmlns="http://schemas.openxmlformats.org/spreadsheetml/2006/main">IF(30&lt;BASE_PRICES!D17,"",IF(BASE_PRICES!K17="","",ROUND(BASE_PRICES!K17*(1+DETAILS!$B$30)/DETAILS!$B$26,4)))</f>
        <v>4.9494999999999996</v>
      </c>
      <c r="P17" s="32">
        <f xmlns="http://schemas.openxmlformats.org/spreadsheetml/2006/main">IF(50&lt;BASE_PRICES!D17,"",IF(BASE_PRICES!L17="","",ROUND(BASE_PRICES!L17*(1+DETAILS!$B$30)/DETAILS!$B$26,4)))</f>
        <v>4.4997999999999996</v>
      </c>
      <c r="Q17" s="32">
        <f xmlns="http://schemas.openxmlformats.org/spreadsheetml/2006/main">IF(100&lt;BASE_PRICES!D17,"",IF(BASE_PRICES!M17="","",ROUND(BASE_PRICES!M17*(1+DETAILS!$B$30)/DETAILS!$B$26,4)))</f>
        <v>4.13</v>
      </c>
      <c r="R17" s="32">
        <f xmlns="http://schemas.openxmlformats.org/spreadsheetml/2006/main">IF(250&lt;BASE_PRICES!D17,"",IF(BASE_PRICES!N17="","",ROUND(BASE_PRICES!N17*(1+DETAILS!$B$30)/DETAILS!$B$26,4)))</f>
        <v>3.9529999999999998</v>
      </c>
      <c r="S17" s="32">
        <f xmlns="http://schemas.openxmlformats.org/spreadsheetml/2006/main">IF(500&lt;BASE_PRICES!D17,"",IF(BASE_PRICES!O17="","",ROUND(BASE_PRICES!O17*(1+DETAILS!$B$30)/DETAILS!$B$26,4)))</f>
        <v>3.4</v>
      </c>
      <c r="T17" s="32">
        <f xmlns="http://schemas.openxmlformats.org/spreadsheetml/2006/main">IF(1000&lt;BASE_PRICES!D17,"",IF(BASE_PRICES!P17="","",ROUND(BASE_PRICES!P17*(1+DETAILS!$B$30)/DETAILS!$B$26,4)))</f>
        <v>3.2</v>
      </c>
      <c r="U17" s="23">
        <f>IF(ISNUMBER(ORDER!G18),IF(AND(ORDER!G18&gt;=I17,MOD(ORDER!G18,BASE_PRICES!E17)=0),MATCH(ORDER!G18,$J$4:$T$4,1),0),0)</f>
        <v>0</v>
      </c>
      <c r="V17" s="23" t="str">
        <f>IF(U17=0,"",IF(INDEX(BASE_PRICES!F17:P17,1,U17)="","",INDEX(BASE_PRICES!F17:P17,1,U17)))</f>
        <v/>
      </c>
      <c r="W17" s="20">
        <f>IF(ORDER!G18=0,0,IF(ISNUMBER(ORDER!H18),0,1))</f>
        <v>0</v>
      </c>
    </row>
    <row r="18" spans="1:23" ht="78" customHeight="1">
      <c r="A18" s="4" t="e" vm="14">
        <v>#VALUE!</v>
      </c>
      <c r="B18" s="1" t="str">
        <f>ORDER!B19</f>
        <v>Thin beeswax candle</v>
      </c>
      <c r="C18" s="1" t="str">
        <f>ORDER!C19</f>
        <v>White</v>
      </c>
      <c r="D18" s="1" t="str">
        <f>ORDER!D19</f>
        <v>260 × 6 mm</v>
      </c>
      <c r="E18" s="19">
        <v>6</v>
      </c>
      <c r="F18" s="35" t="s">
        <v>121</v>
      </c>
      <c r="G18" s="32">
        <f xmlns="http://schemas.openxmlformats.org/spreadsheetml/2006/main">ROUND(BASE_PRICES!B18*(1+DETAILS!$B$30)/DETAILS!$B$26,4)</f>
        <v>1.7495000000000001</v>
      </c>
      <c r="H18" s="33">
        <f>BASE_PRICES!C18</f>
        <v>1</v>
      </c>
      <c r="I18" s="33">
        <f>BASE_PRICES!D18</f>
        <v>500</v>
      </c>
      <c r="J18" s="32" t="str">
        <f xmlns="http://schemas.openxmlformats.org/spreadsheetml/2006/main">IF(1&lt;BASE_PRICES!D18,"",IF(BASE_PRICES!F18="","",ROUND(BASE_PRICES!F18*(1+DETAILS!$B$30)/DETAILS!$B$26,4)))</f>
        <v>0</v>
      </c>
      <c r="K18" s="32" t="str">
        <f xmlns="http://schemas.openxmlformats.org/spreadsheetml/2006/main">IF(5&lt;BASE_PRICES!D18,"",IF(BASE_PRICES!G18="","",ROUND(BASE_PRICES!G18*(1+DETAILS!$B$30)/DETAILS!$B$26,4)))</f>
        <v>0</v>
      </c>
      <c r="L18" s="32" t="str">
        <f xmlns="http://schemas.openxmlformats.org/spreadsheetml/2006/main">IF(10&lt;BASE_PRICES!D18,"",IF(BASE_PRICES!H18="","",ROUND(BASE_PRICES!H18*(1+DETAILS!$B$30)/DETAILS!$B$26,4)))</f>
        <v>0</v>
      </c>
      <c r="M18" s="32" t="str">
        <f xmlns="http://schemas.openxmlformats.org/spreadsheetml/2006/main">IF(20&lt;BASE_PRICES!D18,"",IF(BASE_PRICES!I18="","",ROUND(BASE_PRICES!I18*(1+DETAILS!$B$30)/DETAILS!$B$26,4)))</f>
        <v>0</v>
      </c>
      <c r="N18" s="32" t="str">
        <f xmlns="http://schemas.openxmlformats.org/spreadsheetml/2006/main">IF(25&lt;BASE_PRICES!D18,"",IF(BASE_PRICES!J18="","",ROUND(BASE_PRICES!J18*(1+DETAILS!$B$30)/DETAILS!$B$26,4)))</f>
        <v>0</v>
      </c>
      <c r="O18" s="32" t="str">
        <f xmlns="http://schemas.openxmlformats.org/spreadsheetml/2006/main">IF(30&lt;BASE_PRICES!D18,"",IF(BASE_PRICES!K18="","",ROUND(BASE_PRICES!K18*(1+DETAILS!$B$30)/DETAILS!$B$26,4)))</f>
        <v>0</v>
      </c>
      <c r="P18" s="32" t="str">
        <f xmlns="http://schemas.openxmlformats.org/spreadsheetml/2006/main">IF(50&lt;BASE_PRICES!D18,"",IF(BASE_PRICES!L18="","",ROUND(BASE_PRICES!L18*(1+DETAILS!$B$30)/DETAILS!$B$26,4)))</f>
        <v>0</v>
      </c>
      <c r="Q18" s="32" t="str">
        <f xmlns="http://schemas.openxmlformats.org/spreadsheetml/2006/main">IF(100&lt;BASE_PRICES!D18,"",IF(BASE_PRICES!M18="","",ROUND(BASE_PRICES!M18*(1+DETAILS!$B$30)/DETAILS!$B$26,4)))</f>
        <v>0</v>
      </c>
      <c r="R18" s="32" t="str">
        <f xmlns="http://schemas.openxmlformats.org/spreadsheetml/2006/main">IF(250&lt;BASE_PRICES!D18,"",IF(BASE_PRICES!N18="","",ROUND(BASE_PRICES!N18*(1+DETAILS!$B$30)/DETAILS!$B$26,4)))</f>
        <v>0</v>
      </c>
      <c r="S18" s="32">
        <f xmlns="http://schemas.openxmlformats.org/spreadsheetml/2006/main">IF(500&lt;BASE_PRICES!D18,"",IF(BASE_PRICES!O18="","",ROUND(BASE_PRICES!O18*(1+DETAILS!$B$30)/DETAILS!$B$26,4)))</f>
        <v>1.4696</v>
      </c>
      <c r="T18" s="32">
        <f xmlns="http://schemas.openxmlformats.org/spreadsheetml/2006/main">IF(1000&lt;BASE_PRICES!D18,"",IF(BASE_PRICES!P18="","",ROUND(BASE_PRICES!P18*(1+DETAILS!$B$30)/DETAILS!$B$26,4)))</f>
        <v>1.2946</v>
      </c>
      <c r="U18" s="23">
        <f>IF(ISNUMBER(ORDER!G19),IF(AND(ORDER!G19&gt;=I18,MOD(ORDER!G19,BASE_PRICES!E18)=0),MATCH(ORDER!G19,$J$4:$T$4,1),0),0)</f>
        <v>0</v>
      </c>
      <c r="V18" s="23" t="str">
        <f>IF(U18=0,"",IF(INDEX(BASE_PRICES!F18:P18,1,U18)="","",INDEX(BASE_PRICES!F18:P18,1,U18)))</f>
        <v/>
      </c>
      <c r="W18" s="20">
        <f>IF(ORDER!G19=0,0,IF(ISNUMBER(ORDER!H19),0,1))</f>
        <v>0</v>
      </c>
    </row>
    <row r="19" spans="1:23" ht="78" customHeight="1">
      <c r="A19" s="4" t="e" vm="15">
        <v>#VALUE!</v>
      </c>
      <c r="B19" s="5" t="str">
        <f>ORDER!B20</f>
        <v>Thin beeswax candle</v>
      </c>
      <c r="C19" s="5" t="str">
        <f>ORDER!C20</f>
        <v>Light blue</v>
      </c>
      <c r="D19" s="5" t="str">
        <f>ORDER!D20</f>
        <v>260 × 6 mm</v>
      </c>
      <c r="E19" s="18">
        <v>6</v>
      </c>
      <c r="F19" s="35" t="s">
        <v>122</v>
      </c>
      <c r="G19" s="32">
        <f xmlns="http://schemas.openxmlformats.org/spreadsheetml/2006/main">ROUND(BASE_PRICES!B19*(1+DETAILS!$B$30)/DETAILS!$B$26,4)</f>
        <v>1.7495000000000001</v>
      </c>
      <c r="H19" s="33">
        <f>BASE_PRICES!C19</f>
        <v>1</v>
      </c>
      <c r="I19" s="33">
        <f>BASE_PRICES!D19</f>
        <v>500</v>
      </c>
      <c r="J19" s="32" t="str">
        <f xmlns="http://schemas.openxmlformats.org/spreadsheetml/2006/main">IF(1&lt;BASE_PRICES!D19,"",IF(BASE_PRICES!F19="","",ROUND(BASE_PRICES!F19*(1+DETAILS!$B$30)/DETAILS!$B$26,4)))</f>
        <v>0</v>
      </c>
      <c r="K19" s="32" t="str">
        <f xmlns="http://schemas.openxmlformats.org/spreadsheetml/2006/main">IF(5&lt;BASE_PRICES!D19,"",IF(BASE_PRICES!G19="","",ROUND(BASE_PRICES!G19*(1+DETAILS!$B$30)/DETAILS!$B$26,4)))</f>
        <v>0</v>
      </c>
      <c r="L19" s="32" t="str">
        <f xmlns="http://schemas.openxmlformats.org/spreadsheetml/2006/main">IF(10&lt;BASE_PRICES!D19,"",IF(BASE_PRICES!H19="","",ROUND(BASE_PRICES!H19*(1+DETAILS!$B$30)/DETAILS!$B$26,4)))</f>
        <v>0</v>
      </c>
      <c r="M19" s="32" t="str">
        <f xmlns="http://schemas.openxmlformats.org/spreadsheetml/2006/main">IF(20&lt;BASE_PRICES!D19,"",IF(BASE_PRICES!I19="","",ROUND(BASE_PRICES!I19*(1+DETAILS!$B$30)/DETAILS!$B$26,4)))</f>
        <v>0</v>
      </c>
      <c r="N19" s="32" t="str">
        <f xmlns="http://schemas.openxmlformats.org/spreadsheetml/2006/main">IF(25&lt;BASE_PRICES!D19,"",IF(BASE_PRICES!J19="","",ROUND(BASE_PRICES!J19*(1+DETAILS!$B$30)/DETAILS!$B$26,4)))</f>
        <v>0</v>
      </c>
      <c r="O19" s="32" t="str">
        <f xmlns="http://schemas.openxmlformats.org/spreadsheetml/2006/main">IF(30&lt;BASE_PRICES!D19,"",IF(BASE_PRICES!K19="","",ROUND(BASE_PRICES!K19*(1+DETAILS!$B$30)/DETAILS!$B$26,4)))</f>
        <v>0</v>
      </c>
      <c r="P19" s="32" t="str">
        <f xmlns="http://schemas.openxmlformats.org/spreadsheetml/2006/main">IF(50&lt;BASE_PRICES!D19,"",IF(BASE_PRICES!L19="","",ROUND(BASE_PRICES!L19*(1+DETAILS!$B$30)/DETAILS!$B$26,4)))</f>
        <v>0</v>
      </c>
      <c r="Q19" s="32" t="str">
        <f xmlns="http://schemas.openxmlformats.org/spreadsheetml/2006/main">IF(100&lt;BASE_PRICES!D19,"",IF(BASE_PRICES!M19="","",ROUND(BASE_PRICES!M19*(1+DETAILS!$B$30)/DETAILS!$B$26,4)))</f>
        <v>0</v>
      </c>
      <c r="R19" s="32" t="str">
        <f xmlns="http://schemas.openxmlformats.org/spreadsheetml/2006/main">IF(250&lt;BASE_PRICES!D19,"",IF(BASE_PRICES!N19="","",ROUND(BASE_PRICES!N19*(1+DETAILS!$B$30)/DETAILS!$B$26,4)))</f>
        <v>0</v>
      </c>
      <c r="S19" s="32">
        <f xmlns="http://schemas.openxmlformats.org/spreadsheetml/2006/main">IF(500&lt;BASE_PRICES!D19,"",IF(BASE_PRICES!O19="","",ROUND(BASE_PRICES!O19*(1+DETAILS!$B$30)/DETAILS!$B$26,4)))</f>
        <v>1.4696</v>
      </c>
      <c r="T19" s="32">
        <f xmlns="http://schemas.openxmlformats.org/spreadsheetml/2006/main">IF(1000&lt;BASE_PRICES!D19,"",IF(BASE_PRICES!P19="","",ROUND(BASE_PRICES!P19*(1+DETAILS!$B$30)/DETAILS!$B$26,4)))</f>
        <v>1.2946</v>
      </c>
      <c r="U19" s="23">
        <f>IF(ISNUMBER(ORDER!G20),IF(AND(ORDER!G20&gt;=I19,MOD(ORDER!G20,BASE_PRICES!E19)=0),MATCH(ORDER!G20,$J$4:$T$4,1),0),0)</f>
        <v>0</v>
      </c>
      <c r="V19" s="23" t="str">
        <f>IF(U19=0,"",IF(INDEX(BASE_PRICES!F19:P19,1,U19)="","",INDEX(BASE_PRICES!F19:P19,1,U19)))</f>
        <v/>
      </c>
      <c r="W19" s="20">
        <f>IF(ORDER!G20=0,0,IF(ISNUMBER(ORDER!H20),0,1))</f>
        <v>0</v>
      </c>
    </row>
    <row r="20" spans="1:23" ht="78" customHeight="1">
      <c r="A20" s="4" t="e" vm="16">
        <v>#VALUE!</v>
      </c>
      <c r="B20" s="1" t="str">
        <f>ORDER!B21</f>
        <v>Thin beeswax candle</v>
      </c>
      <c r="C20" s="1" t="str">
        <f>ORDER!C21</f>
        <v>Green</v>
      </c>
      <c r="D20" s="1" t="str">
        <f>ORDER!D21</f>
        <v>260 × 6 mm</v>
      </c>
      <c r="E20" s="19">
        <v>6</v>
      </c>
      <c r="F20" s="35" t="s">
        <v>123</v>
      </c>
      <c r="G20" s="32">
        <f xmlns="http://schemas.openxmlformats.org/spreadsheetml/2006/main">ROUND(BASE_PRICES!B20*(1+DETAILS!$B$30)/DETAILS!$B$26,4)</f>
        <v>1.7495000000000001</v>
      </c>
      <c r="H20" s="33">
        <f>BASE_PRICES!C20</f>
        <v>1</v>
      </c>
      <c r="I20" s="33">
        <f>BASE_PRICES!D20</f>
        <v>500</v>
      </c>
      <c r="J20" s="32" t="str">
        <f xmlns="http://schemas.openxmlformats.org/spreadsheetml/2006/main">IF(1&lt;BASE_PRICES!D20,"",IF(BASE_PRICES!F20="","",ROUND(BASE_PRICES!F20*(1+DETAILS!$B$30)/DETAILS!$B$26,4)))</f>
        <v>0</v>
      </c>
      <c r="K20" s="32" t="str">
        <f xmlns="http://schemas.openxmlformats.org/spreadsheetml/2006/main">IF(5&lt;BASE_PRICES!D20,"",IF(BASE_PRICES!G20="","",ROUND(BASE_PRICES!G20*(1+DETAILS!$B$30)/DETAILS!$B$26,4)))</f>
        <v>0</v>
      </c>
      <c r="L20" s="32" t="str">
        <f xmlns="http://schemas.openxmlformats.org/spreadsheetml/2006/main">IF(10&lt;BASE_PRICES!D20,"",IF(BASE_PRICES!H20="","",ROUND(BASE_PRICES!H20*(1+DETAILS!$B$30)/DETAILS!$B$26,4)))</f>
        <v>0</v>
      </c>
      <c r="M20" s="32" t="str">
        <f xmlns="http://schemas.openxmlformats.org/spreadsheetml/2006/main">IF(20&lt;BASE_PRICES!D20,"",IF(BASE_PRICES!I20="","",ROUND(BASE_PRICES!I20*(1+DETAILS!$B$30)/DETAILS!$B$26,4)))</f>
        <v>0</v>
      </c>
      <c r="N20" s="32" t="str">
        <f xmlns="http://schemas.openxmlformats.org/spreadsheetml/2006/main">IF(25&lt;BASE_PRICES!D20,"",IF(BASE_PRICES!J20="","",ROUND(BASE_PRICES!J20*(1+DETAILS!$B$30)/DETAILS!$B$26,4)))</f>
        <v>0</v>
      </c>
      <c r="O20" s="32" t="str">
        <f xmlns="http://schemas.openxmlformats.org/spreadsheetml/2006/main">IF(30&lt;BASE_PRICES!D20,"",IF(BASE_PRICES!K20="","",ROUND(BASE_PRICES!K20*(1+DETAILS!$B$30)/DETAILS!$B$26,4)))</f>
        <v>0</v>
      </c>
      <c r="P20" s="32" t="str">
        <f xmlns="http://schemas.openxmlformats.org/spreadsheetml/2006/main">IF(50&lt;BASE_PRICES!D20,"",IF(BASE_PRICES!L20="","",ROUND(BASE_PRICES!L20*(1+DETAILS!$B$30)/DETAILS!$B$26,4)))</f>
        <v>0</v>
      </c>
      <c r="Q20" s="32" t="str">
        <f xmlns="http://schemas.openxmlformats.org/spreadsheetml/2006/main">IF(100&lt;BASE_PRICES!D20,"",IF(BASE_PRICES!M20="","",ROUND(BASE_PRICES!M20*(1+DETAILS!$B$30)/DETAILS!$B$26,4)))</f>
        <v>0</v>
      </c>
      <c r="R20" s="32" t="str">
        <f xmlns="http://schemas.openxmlformats.org/spreadsheetml/2006/main">IF(250&lt;BASE_PRICES!D20,"",IF(BASE_PRICES!N20="","",ROUND(BASE_PRICES!N20*(1+DETAILS!$B$30)/DETAILS!$B$26,4)))</f>
        <v>0</v>
      </c>
      <c r="S20" s="32">
        <f xmlns="http://schemas.openxmlformats.org/spreadsheetml/2006/main">IF(500&lt;BASE_PRICES!D20,"",IF(BASE_PRICES!O20="","",ROUND(BASE_PRICES!O20*(1+DETAILS!$B$30)/DETAILS!$B$26,4)))</f>
        <v>1.4696</v>
      </c>
      <c r="T20" s="32">
        <f xmlns="http://schemas.openxmlformats.org/spreadsheetml/2006/main">IF(1000&lt;BASE_PRICES!D20,"",IF(BASE_PRICES!P20="","",ROUND(BASE_PRICES!P20*(1+DETAILS!$B$30)/DETAILS!$B$26,4)))</f>
        <v>1.2946</v>
      </c>
      <c r="U20" s="23">
        <f>IF(ISNUMBER(ORDER!G21),IF(AND(ORDER!G21&gt;=I20,MOD(ORDER!G21,BASE_PRICES!E20)=0),MATCH(ORDER!G21,$J$4:$T$4,1),0),0)</f>
        <v>0</v>
      </c>
      <c r="V20" s="23" t="str">
        <f>IF(U20=0,"",IF(INDEX(BASE_PRICES!F20:P20,1,U20)="","",INDEX(BASE_PRICES!F20:P20,1,U20)))</f>
        <v/>
      </c>
      <c r="W20" s="20">
        <f>IF(ORDER!G21=0,0,IF(ISNUMBER(ORDER!H21),0,1))</f>
        <v>0</v>
      </c>
    </row>
    <row r="21" spans="1:23" ht="78" customHeight="1">
      <c r="A21" s="4" t="e" vm="17">
        <v>#VALUE!</v>
      </c>
      <c r="B21" s="5" t="str">
        <f>ORDER!B22</f>
        <v>Thin beeswax candle</v>
      </c>
      <c r="C21" s="5" t="str">
        <f>ORDER!C22</f>
        <v>Brown</v>
      </c>
      <c r="D21" s="5" t="str">
        <f>ORDER!D22</f>
        <v>260 × 6 mm</v>
      </c>
      <c r="E21" s="18">
        <v>6</v>
      </c>
      <c r="F21" s="36" t="s">
        <v>124</v>
      </c>
      <c r="G21" s="32">
        <f xmlns="http://schemas.openxmlformats.org/spreadsheetml/2006/main">ROUND(BASE_PRICES!B21*(1+DETAILS!$B$30)/DETAILS!$B$26,4)</f>
        <v>1.7495000000000001</v>
      </c>
      <c r="H21" s="33">
        <f>BASE_PRICES!C21</f>
        <v>1</v>
      </c>
      <c r="I21" s="33">
        <f>BASE_PRICES!D21</f>
        <v>500</v>
      </c>
      <c r="J21" s="32" t="str">
        <f xmlns="http://schemas.openxmlformats.org/spreadsheetml/2006/main">IF(1&lt;BASE_PRICES!D21,"",IF(BASE_PRICES!F21="","",ROUND(BASE_PRICES!F21*(1+DETAILS!$B$30)/DETAILS!$B$26,4)))</f>
        <v>0</v>
      </c>
      <c r="K21" s="32" t="str">
        <f xmlns="http://schemas.openxmlformats.org/spreadsheetml/2006/main">IF(5&lt;BASE_PRICES!D21,"",IF(BASE_PRICES!G21="","",ROUND(BASE_PRICES!G21*(1+DETAILS!$B$30)/DETAILS!$B$26,4)))</f>
        <v>0</v>
      </c>
      <c r="L21" s="32" t="str">
        <f xmlns="http://schemas.openxmlformats.org/spreadsheetml/2006/main">IF(10&lt;BASE_PRICES!D21,"",IF(BASE_PRICES!H21="","",ROUND(BASE_PRICES!H21*(1+DETAILS!$B$30)/DETAILS!$B$26,4)))</f>
        <v>0</v>
      </c>
      <c r="M21" s="32" t="str">
        <f xmlns="http://schemas.openxmlformats.org/spreadsheetml/2006/main">IF(20&lt;BASE_PRICES!D21,"",IF(BASE_PRICES!I21="","",ROUND(BASE_PRICES!I21*(1+DETAILS!$B$30)/DETAILS!$B$26,4)))</f>
        <v>0</v>
      </c>
      <c r="N21" s="32" t="str">
        <f xmlns="http://schemas.openxmlformats.org/spreadsheetml/2006/main">IF(25&lt;BASE_PRICES!D21,"",IF(BASE_PRICES!J21="","",ROUND(BASE_PRICES!J21*(1+DETAILS!$B$30)/DETAILS!$B$26,4)))</f>
        <v>0</v>
      </c>
      <c r="O21" s="32" t="str">
        <f xmlns="http://schemas.openxmlformats.org/spreadsheetml/2006/main">IF(30&lt;BASE_PRICES!D21,"",IF(BASE_PRICES!K21="","",ROUND(BASE_PRICES!K21*(1+DETAILS!$B$30)/DETAILS!$B$26,4)))</f>
        <v>0</v>
      </c>
      <c r="P21" s="32" t="str">
        <f xmlns="http://schemas.openxmlformats.org/spreadsheetml/2006/main">IF(50&lt;BASE_PRICES!D21,"",IF(BASE_PRICES!L21="","",ROUND(BASE_PRICES!L21*(1+DETAILS!$B$30)/DETAILS!$B$26,4)))</f>
        <v>0</v>
      </c>
      <c r="Q21" s="32" t="str">
        <f xmlns="http://schemas.openxmlformats.org/spreadsheetml/2006/main">IF(100&lt;BASE_PRICES!D21,"",IF(BASE_PRICES!M21="","",ROUND(BASE_PRICES!M21*(1+DETAILS!$B$30)/DETAILS!$B$26,4)))</f>
        <v>0</v>
      </c>
      <c r="R21" s="32" t="str">
        <f xmlns="http://schemas.openxmlformats.org/spreadsheetml/2006/main">IF(250&lt;BASE_PRICES!D21,"",IF(BASE_PRICES!N21="","",ROUND(BASE_PRICES!N21*(1+DETAILS!$B$30)/DETAILS!$B$26,4)))</f>
        <v>0</v>
      </c>
      <c r="S21" s="32">
        <f xmlns="http://schemas.openxmlformats.org/spreadsheetml/2006/main">IF(500&lt;BASE_PRICES!D21,"",IF(BASE_PRICES!O21="","",ROUND(BASE_PRICES!O21*(1+DETAILS!$B$30)/DETAILS!$B$26,4)))</f>
        <v>1.4696</v>
      </c>
      <c r="T21" s="32">
        <f xmlns="http://schemas.openxmlformats.org/spreadsheetml/2006/main">IF(1000&lt;BASE_PRICES!D21,"",IF(BASE_PRICES!P21="","",ROUND(BASE_PRICES!P21*(1+DETAILS!$B$30)/DETAILS!$B$26,4)))</f>
        <v>1.2946</v>
      </c>
      <c r="U21" s="23">
        <f>IF(ISNUMBER(ORDER!G22),IF(AND(ORDER!G22&gt;=I21,MOD(ORDER!G22,BASE_PRICES!E21)=0),MATCH(ORDER!G22,$J$4:$T$4,1),0),0)</f>
        <v>0</v>
      </c>
      <c r="V21" s="23" t="str">
        <f>IF(U21=0,"",IF(INDEX(BASE_PRICES!F21:P21,1,U21)="","",INDEX(BASE_PRICES!F21:P21,1,U21)))</f>
        <v/>
      </c>
      <c r="W21" s="20">
        <f>IF(ORDER!G22=0,0,IF(ISNUMBER(ORDER!H22),0,1))</f>
        <v>0</v>
      </c>
    </row>
    <row r="22" spans="1:23" ht="78" customHeight="1">
      <c r="A22" s="4" t="e" vm="18">
        <v>#VALUE!</v>
      </c>
      <c r="B22" s="1" t="str">
        <f>ORDER!B23</f>
        <v>Thin beeswax candle</v>
      </c>
      <c r="C22" s="1" t="str">
        <f>ORDER!C23</f>
        <v>Natural</v>
      </c>
      <c r="D22" s="1" t="str">
        <f>ORDER!D23</f>
        <v>260 × 6 mm</v>
      </c>
      <c r="E22" s="19">
        <v>6</v>
      </c>
      <c r="F22" s="35" t="s">
        <v>125</v>
      </c>
      <c r="G22" s="32">
        <f xmlns="http://schemas.openxmlformats.org/spreadsheetml/2006/main">ROUND(BASE_PRICES!B22*(1+DETAILS!$B$30)/DETAILS!$B$26,4)</f>
        <v>1.7495000000000001</v>
      </c>
      <c r="H22" s="33">
        <f>BASE_PRICES!C22</f>
        <v>1</v>
      </c>
      <c r="I22" s="33">
        <f>BASE_PRICES!D22</f>
        <v>500</v>
      </c>
      <c r="J22" s="32" t="str">
        <f xmlns="http://schemas.openxmlformats.org/spreadsheetml/2006/main">IF(1&lt;BASE_PRICES!D22,"",IF(BASE_PRICES!F22="","",ROUND(BASE_PRICES!F22*(1+DETAILS!$B$30)/DETAILS!$B$26,4)))</f>
        <v>0</v>
      </c>
      <c r="K22" s="32" t="str">
        <f xmlns="http://schemas.openxmlformats.org/spreadsheetml/2006/main">IF(5&lt;BASE_PRICES!D22,"",IF(BASE_PRICES!G22="","",ROUND(BASE_PRICES!G22*(1+DETAILS!$B$30)/DETAILS!$B$26,4)))</f>
        <v>0</v>
      </c>
      <c r="L22" s="32" t="str">
        <f xmlns="http://schemas.openxmlformats.org/spreadsheetml/2006/main">IF(10&lt;BASE_PRICES!D22,"",IF(BASE_PRICES!H22="","",ROUND(BASE_PRICES!H22*(1+DETAILS!$B$30)/DETAILS!$B$26,4)))</f>
        <v>0</v>
      </c>
      <c r="M22" s="32" t="str">
        <f xmlns="http://schemas.openxmlformats.org/spreadsheetml/2006/main">IF(20&lt;BASE_PRICES!D22,"",IF(BASE_PRICES!I22="","",ROUND(BASE_PRICES!I22*(1+DETAILS!$B$30)/DETAILS!$B$26,4)))</f>
        <v>0</v>
      </c>
      <c r="N22" s="32" t="str">
        <f xmlns="http://schemas.openxmlformats.org/spreadsheetml/2006/main">IF(25&lt;BASE_PRICES!D22,"",IF(BASE_PRICES!J22="","",ROUND(BASE_PRICES!J22*(1+DETAILS!$B$30)/DETAILS!$B$26,4)))</f>
        <v>0</v>
      </c>
      <c r="O22" s="32" t="str">
        <f xmlns="http://schemas.openxmlformats.org/spreadsheetml/2006/main">IF(30&lt;BASE_PRICES!D22,"",IF(BASE_PRICES!K22="","",ROUND(BASE_PRICES!K22*(1+DETAILS!$B$30)/DETAILS!$B$26,4)))</f>
        <v>0</v>
      </c>
      <c r="P22" s="32" t="str">
        <f xmlns="http://schemas.openxmlformats.org/spreadsheetml/2006/main">IF(50&lt;BASE_PRICES!D22,"",IF(BASE_PRICES!L22="","",ROUND(BASE_PRICES!L22*(1+DETAILS!$B$30)/DETAILS!$B$26,4)))</f>
        <v>0</v>
      </c>
      <c r="Q22" s="32" t="str">
        <f xmlns="http://schemas.openxmlformats.org/spreadsheetml/2006/main">IF(100&lt;BASE_PRICES!D22,"",IF(BASE_PRICES!M22="","",ROUND(BASE_PRICES!M22*(1+DETAILS!$B$30)/DETAILS!$B$26,4)))</f>
        <v>0</v>
      </c>
      <c r="R22" s="32" t="str">
        <f xmlns="http://schemas.openxmlformats.org/spreadsheetml/2006/main">IF(250&lt;BASE_PRICES!D22,"",IF(BASE_PRICES!N22="","",ROUND(BASE_PRICES!N22*(1+DETAILS!$B$30)/DETAILS!$B$26,4)))</f>
        <v>0</v>
      </c>
      <c r="S22" s="32">
        <f xmlns="http://schemas.openxmlformats.org/spreadsheetml/2006/main">IF(500&lt;BASE_PRICES!D22,"",IF(BASE_PRICES!O22="","",ROUND(BASE_PRICES!O22*(1+DETAILS!$B$30)/DETAILS!$B$26,4)))</f>
        <v>1.4696</v>
      </c>
      <c r="T22" s="32">
        <f xmlns="http://schemas.openxmlformats.org/spreadsheetml/2006/main">IF(1000&lt;BASE_PRICES!D22,"",IF(BASE_PRICES!P22="","",ROUND(BASE_PRICES!P22*(1+DETAILS!$B$30)/DETAILS!$B$26,4)))</f>
        <v>1.2946</v>
      </c>
      <c r="U22" s="23">
        <f>IF(ISNUMBER(ORDER!G23),IF(AND(ORDER!G23&gt;=I22,MOD(ORDER!G23,BASE_PRICES!E22)=0),MATCH(ORDER!G23,$J$4:$T$4,1),0),0)</f>
        <v>0</v>
      </c>
      <c r="V22" s="23" t="str">
        <f>IF(U22=0,"",IF(INDEX(BASE_PRICES!F22:P22,1,U22)="","",INDEX(BASE_PRICES!F22:P22,1,U22)))</f>
        <v/>
      </c>
      <c r="W22" s="20">
        <f>IF(ORDER!G23=0,0,IF(ISNUMBER(ORDER!H23),0,1))</f>
        <v>0</v>
      </c>
    </row>
    <row r="23" spans="1:23" ht="78" customHeight="1">
      <c r="A23" s="4" t="e" vm="19">
        <v>#VALUE!</v>
      </c>
      <c r="B23" s="5" t="str">
        <f>ORDER!B24</f>
        <v>Thin beeswax candle</v>
      </c>
      <c r="C23" s="5" t="str">
        <f>ORDER!C24</f>
        <v>Orange</v>
      </c>
      <c r="D23" s="5" t="str">
        <f>ORDER!D24</f>
        <v>260 × 6 mm</v>
      </c>
      <c r="E23" s="18">
        <v>6</v>
      </c>
      <c r="F23" s="35" t="s">
        <v>126</v>
      </c>
      <c r="G23" s="32">
        <f xmlns="http://schemas.openxmlformats.org/spreadsheetml/2006/main">ROUND(BASE_PRICES!B23*(1+DETAILS!$B$30)/DETAILS!$B$26,4)</f>
        <v>1.7495000000000001</v>
      </c>
      <c r="H23" s="33">
        <f>BASE_PRICES!C23</f>
        <v>1</v>
      </c>
      <c r="I23" s="33">
        <f>BASE_PRICES!D23</f>
        <v>500</v>
      </c>
      <c r="J23" s="32" t="str">
        <f xmlns="http://schemas.openxmlformats.org/spreadsheetml/2006/main">IF(1&lt;BASE_PRICES!D23,"",IF(BASE_PRICES!F23="","",ROUND(BASE_PRICES!F23*(1+DETAILS!$B$30)/DETAILS!$B$26,4)))</f>
        <v>0</v>
      </c>
      <c r="K23" s="32" t="str">
        <f xmlns="http://schemas.openxmlformats.org/spreadsheetml/2006/main">IF(5&lt;BASE_PRICES!D23,"",IF(BASE_PRICES!G23="","",ROUND(BASE_PRICES!G23*(1+DETAILS!$B$30)/DETAILS!$B$26,4)))</f>
        <v>0</v>
      </c>
      <c r="L23" s="32" t="str">
        <f xmlns="http://schemas.openxmlformats.org/spreadsheetml/2006/main">IF(10&lt;BASE_PRICES!D23,"",IF(BASE_PRICES!H23="","",ROUND(BASE_PRICES!H23*(1+DETAILS!$B$30)/DETAILS!$B$26,4)))</f>
        <v>0</v>
      </c>
      <c r="M23" s="32" t="str">
        <f xmlns="http://schemas.openxmlformats.org/spreadsheetml/2006/main">IF(20&lt;BASE_PRICES!D23,"",IF(BASE_PRICES!I23="","",ROUND(BASE_PRICES!I23*(1+DETAILS!$B$30)/DETAILS!$B$26,4)))</f>
        <v>0</v>
      </c>
      <c r="N23" s="32" t="str">
        <f xmlns="http://schemas.openxmlformats.org/spreadsheetml/2006/main">IF(25&lt;BASE_PRICES!D23,"",IF(BASE_PRICES!J23="","",ROUND(BASE_PRICES!J23*(1+DETAILS!$B$30)/DETAILS!$B$26,4)))</f>
        <v>0</v>
      </c>
      <c r="O23" s="32" t="str">
        <f xmlns="http://schemas.openxmlformats.org/spreadsheetml/2006/main">IF(30&lt;BASE_PRICES!D23,"",IF(BASE_PRICES!K23="","",ROUND(BASE_PRICES!K23*(1+DETAILS!$B$30)/DETAILS!$B$26,4)))</f>
        <v>0</v>
      </c>
      <c r="P23" s="32" t="str">
        <f xmlns="http://schemas.openxmlformats.org/spreadsheetml/2006/main">IF(50&lt;BASE_PRICES!D23,"",IF(BASE_PRICES!L23="","",ROUND(BASE_PRICES!L23*(1+DETAILS!$B$30)/DETAILS!$B$26,4)))</f>
        <v>0</v>
      </c>
      <c r="Q23" s="32" t="str">
        <f xmlns="http://schemas.openxmlformats.org/spreadsheetml/2006/main">IF(100&lt;BASE_PRICES!D23,"",IF(BASE_PRICES!M23="","",ROUND(BASE_PRICES!M23*(1+DETAILS!$B$30)/DETAILS!$B$26,4)))</f>
        <v>0</v>
      </c>
      <c r="R23" s="32" t="str">
        <f xmlns="http://schemas.openxmlformats.org/spreadsheetml/2006/main">IF(250&lt;BASE_PRICES!D23,"",IF(BASE_PRICES!N23="","",ROUND(BASE_PRICES!N23*(1+DETAILS!$B$30)/DETAILS!$B$26,4)))</f>
        <v>0</v>
      </c>
      <c r="S23" s="32">
        <f xmlns="http://schemas.openxmlformats.org/spreadsheetml/2006/main">IF(500&lt;BASE_PRICES!D23,"",IF(BASE_PRICES!O23="","",ROUND(BASE_PRICES!O23*(1+DETAILS!$B$30)/DETAILS!$B$26,4)))</f>
        <v>1.4696</v>
      </c>
      <c r="T23" s="32">
        <f xmlns="http://schemas.openxmlformats.org/spreadsheetml/2006/main">IF(1000&lt;BASE_PRICES!D23,"",IF(BASE_PRICES!P23="","",ROUND(BASE_PRICES!P23*(1+DETAILS!$B$30)/DETAILS!$B$26,4)))</f>
        <v>1.2946</v>
      </c>
      <c r="U23" s="23">
        <f>IF(ISNUMBER(ORDER!G24),IF(AND(ORDER!G24&gt;=I23,MOD(ORDER!G24,BASE_PRICES!E23)=0),MATCH(ORDER!G24,$J$4:$T$4,1),0),0)</f>
        <v>0</v>
      </c>
      <c r="V23" s="23" t="str">
        <f>IF(U23=0,"",IF(INDEX(BASE_PRICES!F23:P23,1,U23)="","",INDEX(BASE_PRICES!F23:P23,1,U23)))</f>
        <v/>
      </c>
      <c r="W23" s="20">
        <f>IF(ORDER!G24=0,0,IF(ISNUMBER(ORDER!H24),0,1))</f>
        <v>0</v>
      </c>
    </row>
    <row r="24" spans="1:23" ht="78" customHeight="1">
      <c r="A24" s="4" t="e" vm="20">
        <v>#VALUE!</v>
      </c>
      <c r="B24" s="1" t="str">
        <f>ORDER!B25</f>
        <v>Thin beeswax candle</v>
      </c>
      <c r="C24" s="1" t="str">
        <f>ORDER!C25</f>
        <v>Pink</v>
      </c>
      <c r="D24" s="1" t="str">
        <f>ORDER!D25</f>
        <v>260 × 6 mm</v>
      </c>
      <c r="E24" s="19">
        <v>6</v>
      </c>
      <c r="F24" s="35" t="s">
        <v>127</v>
      </c>
      <c r="G24" s="32">
        <f xmlns="http://schemas.openxmlformats.org/spreadsheetml/2006/main">ROUND(BASE_PRICES!B24*(1+DETAILS!$B$30)/DETAILS!$B$26,4)</f>
        <v>1.7495000000000001</v>
      </c>
      <c r="H24" s="33">
        <f>BASE_PRICES!C24</f>
        <v>1</v>
      </c>
      <c r="I24" s="33">
        <f>BASE_PRICES!D24</f>
        <v>500</v>
      </c>
      <c r="J24" s="32" t="str">
        <f xmlns="http://schemas.openxmlformats.org/spreadsheetml/2006/main">IF(1&lt;BASE_PRICES!D24,"",IF(BASE_PRICES!F24="","",ROUND(BASE_PRICES!F24*(1+DETAILS!$B$30)/DETAILS!$B$26,4)))</f>
        <v>0</v>
      </c>
      <c r="K24" s="32" t="str">
        <f xmlns="http://schemas.openxmlformats.org/spreadsheetml/2006/main">IF(5&lt;BASE_PRICES!D24,"",IF(BASE_PRICES!G24="","",ROUND(BASE_PRICES!G24*(1+DETAILS!$B$30)/DETAILS!$B$26,4)))</f>
        <v>0</v>
      </c>
      <c r="L24" s="32" t="str">
        <f xmlns="http://schemas.openxmlformats.org/spreadsheetml/2006/main">IF(10&lt;BASE_PRICES!D24,"",IF(BASE_PRICES!H24="","",ROUND(BASE_PRICES!H24*(1+DETAILS!$B$30)/DETAILS!$B$26,4)))</f>
        <v>0</v>
      </c>
      <c r="M24" s="32" t="str">
        <f xmlns="http://schemas.openxmlformats.org/spreadsheetml/2006/main">IF(20&lt;BASE_PRICES!D24,"",IF(BASE_PRICES!I24="","",ROUND(BASE_PRICES!I24*(1+DETAILS!$B$30)/DETAILS!$B$26,4)))</f>
        <v>0</v>
      </c>
      <c r="N24" s="32" t="str">
        <f xmlns="http://schemas.openxmlformats.org/spreadsheetml/2006/main">IF(25&lt;BASE_PRICES!D24,"",IF(BASE_PRICES!J24="","",ROUND(BASE_PRICES!J24*(1+DETAILS!$B$30)/DETAILS!$B$26,4)))</f>
        <v>0</v>
      </c>
      <c r="O24" s="32" t="str">
        <f xmlns="http://schemas.openxmlformats.org/spreadsheetml/2006/main">IF(30&lt;BASE_PRICES!D24,"",IF(BASE_PRICES!K24="","",ROUND(BASE_PRICES!K24*(1+DETAILS!$B$30)/DETAILS!$B$26,4)))</f>
        <v>0</v>
      </c>
      <c r="P24" s="32" t="str">
        <f xmlns="http://schemas.openxmlformats.org/spreadsheetml/2006/main">IF(50&lt;BASE_PRICES!D24,"",IF(BASE_PRICES!L24="","",ROUND(BASE_PRICES!L24*(1+DETAILS!$B$30)/DETAILS!$B$26,4)))</f>
        <v>0</v>
      </c>
      <c r="Q24" s="32" t="str">
        <f xmlns="http://schemas.openxmlformats.org/spreadsheetml/2006/main">IF(100&lt;BASE_PRICES!D24,"",IF(BASE_PRICES!M24="","",ROUND(BASE_PRICES!M24*(1+DETAILS!$B$30)/DETAILS!$B$26,4)))</f>
        <v>0</v>
      </c>
      <c r="R24" s="32" t="str">
        <f xmlns="http://schemas.openxmlformats.org/spreadsheetml/2006/main">IF(250&lt;BASE_PRICES!D24,"",IF(BASE_PRICES!N24="","",ROUND(BASE_PRICES!N24*(1+DETAILS!$B$30)/DETAILS!$B$26,4)))</f>
        <v>0</v>
      </c>
      <c r="S24" s="32">
        <f xmlns="http://schemas.openxmlformats.org/spreadsheetml/2006/main">IF(500&lt;BASE_PRICES!D24,"",IF(BASE_PRICES!O24="","",ROUND(BASE_PRICES!O24*(1+DETAILS!$B$30)/DETAILS!$B$26,4)))</f>
        <v>1.4696</v>
      </c>
      <c r="T24" s="32">
        <f xmlns="http://schemas.openxmlformats.org/spreadsheetml/2006/main">IF(1000&lt;BASE_PRICES!D24,"",IF(BASE_PRICES!P24="","",ROUND(BASE_PRICES!P24*(1+DETAILS!$B$30)/DETAILS!$B$26,4)))</f>
        <v>1.2946</v>
      </c>
      <c r="U24" s="23">
        <f>IF(ISNUMBER(ORDER!G25),IF(AND(ORDER!G25&gt;=I24,MOD(ORDER!G25,BASE_PRICES!E24)=0),MATCH(ORDER!G25,$J$4:$T$4,1),0),0)</f>
        <v>0</v>
      </c>
      <c r="V24" s="23" t="str">
        <f>IF(U24=0,"",IF(INDEX(BASE_PRICES!F24:P24,1,U24)="","",INDEX(BASE_PRICES!F24:P24,1,U24)))</f>
        <v/>
      </c>
      <c r="W24" s="20">
        <f>IF(ORDER!G25=0,0,IF(ISNUMBER(ORDER!H25),0,1))</f>
        <v>0</v>
      </c>
    </row>
    <row r="25" spans="1:23" ht="78" customHeight="1">
      <c r="A25" s="4" t="e" vm="21">
        <v>#VALUE!</v>
      </c>
      <c r="B25" s="5" t="str">
        <f>ORDER!B26</f>
        <v>Thin beeswax candle</v>
      </c>
      <c r="C25" s="5" t="str">
        <f>ORDER!C26</f>
        <v>Blue</v>
      </c>
      <c r="D25" s="5" t="str">
        <f>ORDER!D26</f>
        <v>260 × 6 mm</v>
      </c>
      <c r="E25" s="18">
        <v>6</v>
      </c>
      <c r="F25" s="35" t="s">
        <v>128</v>
      </c>
      <c r="G25" s="32">
        <f xmlns="http://schemas.openxmlformats.org/spreadsheetml/2006/main">ROUND(BASE_PRICES!B25*(1+DETAILS!$B$30)/DETAILS!$B$26,4)</f>
        <v>1.7495000000000001</v>
      </c>
      <c r="H25" s="33">
        <f>BASE_PRICES!C25</f>
        <v>1</v>
      </c>
      <c r="I25" s="33">
        <f>BASE_PRICES!D25</f>
        <v>500</v>
      </c>
      <c r="J25" s="32" t="str">
        <f xmlns="http://schemas.openxmlformats.org/spreadsheetml/2006/main">IF(1&lt;BASE_PRICES!D25,"",IF(BASE_PRICES!F25="","",ROUND(BASE_PRICES!F25*(1+DETAILS!$B$30)/DETAILS!$B$26,4)))</f>
        <v>0</v>
      </c>
      <c r="K25" s="32" t="str">
        <f xmlns="http://schemas.openxmlformats.org/spreadsheetml/2006/main">IF(5&lt;BASE_PRICES!D25,"",IF(BASE_PRICES!G25="","",ROUND(BASE_PRICES!G25*(1+DETAILS!$B$30)/DETAILS!$B$26,4)))</f>
        <v>0</v>
      </c>
      <c r="L25" s="32" t="str">
        <f xmlns="http://schemas.openxmlformats.org/spreadsheetml/2006/main">IF(10&lt;BASE_PRICES!D25,"",IF(BASE_PRICES!H25="","",ROUND(BASE_PRICES!H25*(1+DETAILS!$B$30)/DETAILS!$B$26,4)))</f>
        <v>0</v>
      </c>
      <c r="M25" s="32" t="str">
        <f xmlns="http://schemas.openxmlformats.org/spreadsheetml/2006/main">IF(20&lt;BASE_PRICES!D25,"",IF(BASE_PRICES!I25="","",ROUND(BASE_PRICES!I25*(1+DETAILS!$B$30)/DETAILS!$B$26,4)))</f>
        <v>0</v>
      </c>
      <c r="N25" s="32" t="str">
        <f xmlns="http://schemas.openxmlformats.org/spreadsheetml/2006/main">IF(25&lt;BASE_PRICES!D25,"",IF(BASE_PRICES!J25="","",ROUND(BASE_PRICES!J25*(1+DETAILS!$B$30)/DETAILS!$B$26,4)))</f>
        <v>0</v>
      </c>
      <c r="O25" s="32" t="str">
        <f xmlns="http://schemas.openxmlformats.org/spreadsheetml/2006/main">IF(30&lt;BASE_PRICES!D25,"",IF(BASE_PRICES!K25="","",ROUND(BASE_PRICES!K25*(1+DETAILS!$B$30)/DETAILS!$B$26,4)))</f>
        <v>0</v>
      </c>
      <c r="P25" s="32" t="str">
        <f xmlns="http://schemas.openxmlformats.org/spreadsheetml/2006/main">IF(50&lt;BASE_PRICES!D25,"",IF(BASE_PRICES!L25="","",ROUND(BASE_PRICES!L25*(1+DETAILS!$B$30)/DETAILS!$B$26,4)))</f>
        <v>0</v>
      </c>
      <c r="Q25" s="32" t="str">
        <f xmlns="http://schemas.openxmlformats.org/spreadsheetml/2006/main">IF(100&lt;BASE_PRICES!D25,"",IF(BASE_PRICES!M25="","",ROUND(BASE_PRICES!M25*(1+DETAILS!$B$30)/DETAILS!$B$26,4)))</f>
        <v>0</v>
      </c>
      <c r="R25" s="32" t="str">
        <f xmlns="http://schemas.openxmlformats.org/spreadsheetml/2006/main">IF(250&lt;BASE_PRICES!D25,"",IF(BASE_PRICES!N25="","",ROUND(BASE_PRICES!N25*(1+DETAILS!$B$30)/DETAILS!$B$26,4)))</f>
        <v>0</v>
      </c>
      <c r="S25" s="32">
        <f xmlns="http://schemas.openxmlformats.org/spreadsheetml/2006/main">IF(500&lt;BASE_PRICES!D25,"",IF(BASE_PRICES!O25="","",ROUND(BASE_PRICES!O25*(1+DETAILS!$B$30)/DETAILS!$B$26,4)))</f>
        <v>1.4696</v>
      </c>
      <c r="T25" s="32">
        <f xmlns="http://schemas.openxmlformats.org/spreadsheetml/2006/main">IF(1000&lt;BASE_PRICES!D25,"",IF(BASE_PRICES!P25="","",ROUND(BASE_PRICES!P25*(1+DETAILS!$B$30)/DETAILS!$B$26,4)))</f>
        <v>1.2946</v>
      </c>
      <c r="U25" s="23">
        <f>IF(ISNUMBER(ORDER!G26),IF(AND(ORDER!G26&gt;=I25,MOD(ORDER!G26,BASE_PRICES!E25)=0),MATCH(ORDER!G26,$J$4:$T$4,1),0),0)</f>
        <v>0</v>
      </c>
      <c r="V25" s="23" t="str">
        <f>IF(U25=0,"",IF(INDEX(BASE_PRICES!F25:P25,1,U25)="","",INDEX(BASE_PRICES!F25:P25,1,U25)))</f>
        <v/>
      </c>
      <c r="W25" s="20">
        <f>IF(ORDER!G26=0,0,IF(ISNUMBER(ORDER!H26),0,1))</f>
        <v>0</v>
      </c>
    </row>
    <row r="26" spans="1:23" ht="78" customHeight="1">
      <c r="A26" s="4" t="e" vm="22">
        <v>#VALUE!</v>
      </c>
      <c r="B26" s="1" t="str">
        <f>ORDER!B27</f>
        <v>Thin beeswax candle</v>
      </c>
      <c r="C26" s="1" t="str">
        <f>ORDER!C27</f>
        <v>Purple</v>
      </c>
      <c r="D26" s="1" t="str">
        <f>ORDER!D27</f>
        <v>260 × 6 mm</v>
      </c>
      <c r="E26" s="19">
        <v>6</v>
      </c>
      <c r="F26" s="35" t="s">
        <v>129</v>
      </c>
      <c r="G26" s="32">
        <f xmlns="http://schemas.openxmlformats.org/spreadsheetml/2006/main">ROUND(BASE_PRICES!B26*(1+DETAILS!$B$30)/DETAILS!$B$26,4)</f>
        <v>1.7495000000000001</v>
      </c>
      <c r="H26" s="33">
        <f>BASE_PRICES!C26</f>
        <v>1</v>
      </c>
      <c r="I26" s="33">
        <f>BASE_PRICES!D26</f>
        <v>500</v>
      </c>
      <c r="J26" s="32" t="str">
        <f xmlns="http://schemas.openxmlformats.org/spreadsheetml/2006/main">IF(1&lt;BASE_PRICES!D26,"",IF(BASE_PRICES!F26="","",ROUND(BASE_PRICES!F26*(1+DETAILS!$B$30)/DETAILS!$B$26,4)))</f>
        <v>0</v>
      </c>
      <c r="K26" s="32" t="str">
        <f xmlns="http://schemas.openxmlformats.org/spreadsheetml/2006/main">IF(5&lt;BASE_PRICES!D26,"",IF(BASE_PRICES!G26="","",ROUND(BASE_PRICES!G26*(1+DETAILS!$B$30)/DETAILS!$B$26,4)))</f>
        <v>0</v>
      </c>
      <c r="L26" s="32" t="str">
        <f xmlns="http://schemas.openxmlformats.org/spreadsheetml/2006/main">IF(10&lt;BASE_PRICES!D26,"",IF(BASE_PRICES!H26="","",ROUND(BASE_PRICES!H26*(1+DETAILS!$B$30)/DETAILS!$B$26,4)))</f>
        <v>0</v>
      </c>
      <c r="M26" s="32" t="str">
        <f xmlns="http://schemas.openxmlformats.org/spreadsheetml/2006/main">IF(20&lt;BASE_PRICES!D26,"",IF(BASE_PRICES!I26="","",ROUND(BASE_PRICES!I26*(1+DETAILS!$B$30)/DETAILS!$B$26,4)))</f>
        <v>0</v>
      </c>
      <c r="N26" s="32" t="str">
        <f xmlns="http://schemas.openxmlformats.org/spreadsheetml/2006/main">IF(25&lt;BASE_PRICES!D26,"",IF(BASE_PRICES!J26="","",ROUND(BASE_PRICES!J26*(1+DETAILS!$B$30)/DETAILS!$B$26,4)))</f>
        <v>0</v>
      </c>
      <c r="O26" s="32" t="str">
        <f xmlns="http://schemas.openxmlformats.org/spreadsheetml/2006/main">IF(30&lt;BASE_PRICES!D26,"",IF(BASE_PRICES!K26="","",ROUND(BASE_PRICES!K26*(1+DETAILS!$B$30)/DETAILS!$B$26,4)))</f>
        <v>0</v>
      </c>
      <c r="P26" s="32" t="str">
        <f xmlns="http://schemas.openxmlformats.org/spreadsheetml/2006/main">IF(50&lt;BASE_PRICES!D26,"",IF(BASE_PRICES!L26="","",ROUND(BASE_PRICES!L26*(1+DETAILS!$B$30)/DETAILS!$B$26,4)))</f>
        <v>0</v>
      </c>
      <c r="Q26" s="32" t="str">
        <f xmlns="http://schemas.openxmlformats.org/spreadsheetml/2006/main">IF(100&lt;BASE_PRICES!D26,"",IF(BASE_PRICES!M26="","",ROUND(BASE_PRICES!M26*(1+DETAILS!$B$30)/DETAILS!$B$26,4)))</f>
        <v>0</v>
      </c>
      <c r="R26" s="32" t="str">
        <f xmlns="http://schemas.openxmlformats.org/spreadsheetml/2006/main">IF(250&lt;BASE_PRICES!D26,"",IF(BASE_PRICES!N26="","",ROUND(BASE_PRICES!N26*(1+DETAILS!$B$30)/DETAILS!$B$26,4)))</f>
        <v>0</v>
      </c>
      <c r="S26" s="32">
        <f xmlns="http://schemas.openxmlformats.org/spreadsheetml/2006/main">IF(500&lt;BASE_PRICES!D26,"",IF(BASE_PRICES!O26="","",ROUND(BASE_PRICES!O26*(1+DETAILS!$B$30)/DETAILS!$B$26,4)))</f>
        <v>1.4696</v>
      </c>
      <c r="T26" s="32">
        <f xmlns="http://schemas.openxmlformats.org/spreadsheetml/2006/main">IF(1000&lt;BASE_PRICES!D26,"",IF(BASE_PRICES!P26="","",ROUND(BASE_PRICES!P26*(1+DETAILS!$B$30)/DETAILS!$B$26,4)))</f>
        <v>1.2946</v>
      </c>
      <c r="U26" s="23">
        <f>IF(ISNUMBER(ORDER!G27),IF(AND(ORDER!G27&gt;=I26,MOD(ORDER!G27,BASE_PRICES!E26)=0),MATCH(ORDER!G27,$J$4:$T$4,1),0),0)</f>
        <v>0</v>
      </c>
      <c r="V26" s="23" t="str">
        <f>IF(U26=0,"",IF(INDEX(BASE_PRICES!F26:P26,1,U26)="","",INDEX(BASE_PRICES!F26:P26,1,U26)))</f>
        <v/>
      </c>
      <c r="W26" s="20">
        <f>IF(ORDER!G27=0,0,IF(ISNUMBER(ORDER!H27),0,1))</f>
        <v>0</v>
      </c>
    </row>
    <row r="27" spans="1:23" ht="78" customHeight="1">
      <c r="A27" s="4" t="e" vm="23">
        <v>#VALUE!</v>
      </c>
      <c r="B27" s="5" t="str">
        <f>ORDER!B28</f>
        <v>Thin beeswax candle</v>
      </c>
      <c r="C27" s="5" t="str">
        <f>ORDER!C28</f>
        <v>Red</v>
      </c>
      <c r="D27" s="5" t="str">
        <f>ORDER!D28</f>
        <v>260 × 6 mm</v>
      </c>
      <c r="E27" s="18">
        <v>6</v>
      </c>
      <c r="F27" s="36" t="s">
        <v>130</v>
      </c>
      <c r="G27" s="32">
        <f xmlns="http://schemas.openxmlformats.org/spreadsheetml/2006/main">ROUND(BASE_PRICES!B27*(1+DETAILS!$B$30)/DETAILS!$B$26,4)</f>
        <v>1.7495000000000001</v>
      </c>
      <c r="H27" s="33">
        <f>BASE_PRICES!C27</f>
        <v>1</v>
      </c>
      <c r="I27" s="33">
        <f>BASE_PRICES!D27</f>
        <v>500</v>
      </c>
      <c r="J27" s="32" t="str">
        <f xmlns="http://schemas.openxmlformats.org/spreadsheetml/2006/main">IF(1&lt;BASE_PRICES!D27,"",IF(BASE_PRICES!F27="","",ROUND(BASE_PRICES!F27*(1+DETAILS!$B$30)/DETAILS!$B$26,4)))</f>
        <v>0</v>
      </c>
      <c r="K27" s="32" t="str">
        <f xmlns="http://schemas.openxmlformats.org/spreadsheetml/2006/main">IF(5&lt;BASE_PRICES!D27,"",IF(BASE_PRICES!G27="","",ROUND(BASE_PRICES!G27*(1+DETAILS!$B$30)/DETAILS!$B$26,4)))</f>
        <v>0</v>
      </c>
      <c r="L27" s="32" t="str">
        <f xmlns="http://schemas.openxmlformats.org/spreadsheetml/2006/main">IF(10&lt;BASE_PRICES!D27,"",IF(BASE_PRICES!H27="","",ROUND(BASE_PRICES!H27*(1+DETAILS!$B$30)/DETAILS!$B$26,4)))</f>
        <v>0</v>
      </c>
      <c r="M27" s="32" t="str">
        <f xmlns="http://schemas.openxmlformats.org/spreadsheetml/2006/main">IF(20&lt;BASE_PRICES!D27,"",IF(BASE_PRICES!I27="","",ROUND(BASE_PRICES!I27*(1+DETAILS!$B$30)/DETAILS!$B$26,4)))</f>
        <v>0</v>
      </c>
      <c r="N27" s="32" t="str">
        <f xmlns="http://schemas.openxmlformats.org/spreadsheetml/2006/main">IF(25&lt;BASE_PRICES!D27,"",IF(BASE_PRICES!J27="","",ROUND(BASE_PRICES!J27*(1+DETAILS!$B$30)/DETAILS!$B$26,4)))</f>
        <v>0</v>
      </c>
      <c r="O27" s="32" t="str">
        <f xmlns="http://schemas.openxmlformats.org/spreadsheetml/2006/main">IF(30&lt;BASE_PRICES!D27,"",IF(BASE_PRICES!K27="","",ROUND(BASE_PRICES!K27*(1+DETAILS!$B$30)/DETAILS!$B$26,4)))</f>
        <v>0</v>
      </c>
      <c r="P27" s="32" t="str">
        <f xmlns="http://schemas.openxmlformats.org/spreadsheetml/2006/main">IF(50&lt;BASE_PRICES!D27,"",IF(BASE_PRICES!L27="","",ROUND(BASE_PRICES!L27*(1+DETAILS!$B$30)/DETAILS!$B$26,4)))</f>
        <v>0</v>
      </c>
      <c r="Q27" s="32" t="str">
        <f xmlns="http://schemas.openxmlformats.org/spreadsheetml/2006/main">IF(100&lt;BASE_PRICES!D27,"",IF(BASE_PRICES!M27="","",ROUND(BASE_PRICES!M27*(1+DETAILS!$B$30)/DETAILS!$B$26,4)))</f>
        <v>0</v>
      </c>
      <c r="R27" s="32" t="str">
        <f xmlns="http://schemas.openxmlformats.org/spreadsheetml/2006/main">IF(250&lt;BASE_PRICES!D27,"",IF(BASE_PRICES!N27="","",ROUND(BASE_PRICES!N27*(1+DETAILS!$B$30)/DETAILS!$B$26,4)))</f>
        <v>0</v>
      </c>
      <c r="S27" s="32">
        <f xmlns="http://schemas.openxmlformats.org/spreadsheetml/2006/main">IF(500&lt;BASE_PRICES!D27,"",IF(BASE_PRICES!O27="","",ROUND(BASE_PRICES!O27*(1+DETAILS!$B$30)/DETAILS!$B$26,4)))</f>
        <v>1.4696</v>
      </c>
      <c r="T27" s="32">
        <f xmlns="http://schemas.openxmlformats.org/spreadsheetml/2006/main">IF(1000&lt;BASE_PRICES!D27,"",IF(BASE_PRICES!P27="","",ROUND(BASE_PRICES!P27*(1+DETAILS!$B$30)/DETAILS!$B$26,4)))</f>
        <v>1.2946</v>
      </c>
      <c r="U27" s="23">
        <f>IF(ISNUMBER(ORDER!G28),IF(AND(ORDER!G28&gt;=I27,MOD(ORDER!G28,BASE_PRICES!E27)=0),MATCH(ORDER!G28,$J$4:$T$4,1),0),0)</f>
        <v>0</v>
      </c>
      <c r="V27" s="23" t="str">
        <f>IF(U27=0,"",IF(INDEX(BASE_PRICES!F27:P27,1,U27)="","",INDEX(BASE_PRICES!F27:P27,1,U27)))</f>
        <v/>
      </c>
      <c r="W27" s="20">
        <f>IF(ORDER!G28=0,0,IF(ISNUMBER(ORDER!H28),0,1))</f>
        <v>0</v>
      </c>
    </row>
    <row r="28" spans="1:23" ht="78" customHeight="1">
      <c r="A28" s="4" t="e" vm="24">
        <v>#VALUE!</v>
      </c>
      <c r="B28" s="1" t="str">
        <f>ORDER!B29</f>
        <v>Thin beeswax candle</v>
      </c>
      <c r="C28" s="1" t="str">
        <f>ORDER!C29</f>
        <v>Black</v>
      </c>
      <c r="D28" s="1" t="str">
        <f>ORDER!D29</f>
        <v>260 × 6 mm</v>
      </c>
      <c r="E28" s="19">
        <v>6</v>
      </c>
      <c r="F28" s="35" t="s">
        <v>131</v>
      </c>
      <c r="G28" s="32">
        <f xmlns="http://schemas.openxmlformats.org/spreadsheetml/2006/main">ROUND(BASE_PRICES!B28*(1+DETAILS!$B$30)/DETAILS!$B$26,4)</f>
        <v>1.7495000000000001</v>
      </c>
      <c r="H28" s="33">
        <f>BASE_PRICES!C28</f>
        <v>1</v>
      </c>
      <c r="I28" s="33">
        <f>BASE_PRICES!D28</f>
        <v>500</v>
      </c>
      <c r="J28" s="32" t="str">
        <f xmlns="http://schemas.openxmlformats.org/spreadsheetml/2006/main">IF(1&lt;BASE_PRICES!D28,"",IF(BASE_PRICES!F28="","",ROUND(BASE_PRICES!F28*(1+DETAILS!$B$30)/DETAILS!$B$26,4)))</f>
        <v>0</v>
      </c>
      <c r="K28" s="32" t="str">
        <f xmlns="http://schemas.openxmlformats.org/spreadsheetml/2006/main">IF(5&lt;BASE_PRICES!D28,"",IF(BASE_PRICES!G28="","",ROUND(BASE_PRICES!G28*(1+DETAILS!$B$30)/DETAILS!$B$26,4)))</f>
        <v>0</v>
      </c>
      <c r="L28" s="32" t="str">
        <f xmlns="http://schemas.openxmlformats.org/spreadsheetml/2006/main">IF(10&lt;BASE_PRICES!D28,"",IF(BASE_PRICES!H28="","",ROUND(BASE_PRICES!H28*(1+DETAILS!$B$30)/DETAILS!$B$26,4)))</f>
        <v>0</v>
      </c>
      <c r="M28" s="32" t="str">
        <f xmlns="http://schemas.openxmlformats.org/spreadsheetml/2006/main">IF(20&lt;BASE_PRICES!D28,"",IF(BASE_PRICES!I28="","",ROUND(BASE_PRICES!I28*(1+DETAILS!$B$30)/DETAILS!$B$26,4)))</f>
        <v>0</v>
      </c>
      <c r="N28" s="32" t="str">
        <f xmlns="http://schemas.openxmlformats.org/spreadsheetml/2006/main">IF(25&lt;BASE_PRICES!D28,"",IF(BASE_PRICES!J28="","",ROUND(BASE_PRICES!J28*(1+DETAILS!$B$30)/DETAILS!$B$26,4)))</f>
        <v>0</v>
      </c>
      <c r="O28" s="32" t="str">
        <f xmlns="http://schemas.openxmlformats.org/spreadsheetml/2006/main">IF(30&lt;BASE_PRICES!D28,"",IF(BASE_PRICES!K28="","",ROUND(BASE_PRICES!K28*(1+DETAILS!$B$30)/DETAILS!$B$26,4)))</f>
        <v>0</v>
      </c>
      <c r="P28" s="32" t="str">
        <f xmlns="http://schemas.openxmlformats.org/spreadsheetml/2006/main">IF(50&lt;BASE_PRICES!D28,"",IF(BASE_PRICES!L28="","",ROUND(BASE_PRICES!L28*(1+DETAILS!$B$30)/DETAILS!$B$26,4)))</f>
        <v>0</v>
      </c>
      <c r="Q28" s="32" t="str">
        <f xmlns="http://schemas.openxmlformats.org/spreadsheetml/2006/main">IF(100&lt;BASE_PRICES!D28,"",IF(BASE_PRICES!M28="","",ROUND(BASE_PRICES!M28*(1+DETAILS!$B$30)/DETAILS!$B$26,4)))</f>
        <v>0</v>
      </c>
      <c r="R28" s="32" t="str">
        <f xmlns="http://schemas.openxmlformats.org/spreadsheetml/2006/main">IF(250&lt;BASE_PRICES!D28,"",IF(BASE_PRICES!N28="","",ROUND(BASE_PRICES!N28*(1+DETAILS!$B$30)/DETAILS!$B$26,4)))</f>
        <v>0</v>
      </c>
      <c r="S28" s="32">
        <f xmlns="http://schemas.openxmlformats.org/spreadsheetml/2006/main">IF(500&lt;BASE_PRICES!D28,"",IF(BASE_PRICES!O28="","",ROUND(BASE_PRICES!O28*(1+DETAILS!$B$30)/DETAILS!$B$26,4)))</f>
        <v>1.4696</v>
      </c>
      <c r="T28" s="32">
        <f xmlns="http://schemas.openxmlformats.org/spreadsheetml/2006/main">IF(1000&lt;BASE_PRICES!D28,"",IF(BASE_PRICES!P28="","",ROUND(BASE_PRICES!P28*(1+DETAILS!$B$30)/DETAILS!$B$26,4)))</f>
        <v>1.2946</v>
      </c>
      <c r="U28" s="23">
        <f>IF(ISNUMBER(ORDER!G29),IF(AND(ORDER!G29&gt;=I28,MOD(ORDER!G29,BASE_PRICES!E28)=0),MATCH(ORDER!G29,$J$4:$T$4,1),0),0)</f>
        <v>0</v>
      </c>
      <c r="V28" s="23" t="str">
        <f>IF(U28=0,"",IF(INDEX(BASE_PRICES!F28:P28,1,U28)="","",INDEX(BASE_PRICES!F28:P28,1,U28)))</f>
        <v/>
      </c>
      <c r="W28" s="20">
        <f>IF(ORDER!G29=0,0,IF(ISNUMBER(ORDER!H29),0,1))</f>
        <v>0</v>
      </c>
    </row>
    <row r="29" spans="1:23" ht="78" customHeight="1">
      <c r="A29" s="4" t="e" vm="25">
        <v>#VALUE!</v>
      </c>
      <c r="B29" s="5" t="str">
        <f>ORDER!B30</f>
        <v>Candle — administrative and legal matters</v>
      </c>
      <c r="C29" s="5" t="str">
        <f>ORDER!C30</f>
        <v>Light blue</v>
      </c>
      <c r="D29" s="5" t="str">
        <f>ORDER!D30</f>
        <v>150х20</v>
      </c>
      <c r="E29" s="18">
        <v>60</v>
      </c>
      <c r="F29" s="35" t="s">
        <v>132</v>
      </c>
      <c r="G29" s="32">
        <f xmlns="http://schemas.openxmlformats.org/spreadsheetml/2006/main">ROUND(BASE_PRICES!B29*(1+DETAILS!$B$30)/DETAILS!$B$26,4)</f>
        <v>36.159999999999997</v>
      </c>
      <c r="H29" s="33">
        <f>BASE_PRICES!C29</f>
        <v>1</v>
      </c>
      <c r="I29" s="33">
        <f>BASE_PRICES!D29</f>
        <v>5</v>
      </c>
      <c r="J29" s="32" t="str">
        <f xmlns="http://schemas.openxmlformats.org/spreadsheetml/2006/main">IF(1&lt;BASE_PRICES!D29,"",IF(BASE_PRICES!F29="","",ROUND(BASE_PRICES!F29*(1+DETAILS!$B$30)/DETAILS!$B$26,4)))</f>
        <v>0</v>
      </c>
      <c r="K29" s="32">
        <f xmlns="http://schemas.openxmlformats.org/spreadsheetml/2006/main">IF(5&lt;BASE_PRICES!D29,"",IF(BASE_PRICES!G29="","",ROUND(BASE_PRICES!G29*(1+DETAILS!$B$30)/DETAILS!$B$26,4)))</f>
        <v>30.374400000000001</v>
      </c>
      <c r="L29" s="32">
        <f xmlns="http://schemas.openxmlformats.org/spreadsheetml/2006/main">IF(10&lt;BASE_PRICES!D29,"",IF(BASE_PRICES!H29="","",ROUND(BASE_PRICES!H29*(1+DETAILS!$B$30)/DETAILS!$B$26,4)))</f>
        <v>27.12</v>
      </c>
      <c r="M29" s="32">
        <f xmlns="http://schemas.openxmlformats.org/spreadsheetml/2006/main">IF(20&lt;BASE_PRICES!D29,"",IF(BASE_PRICES!I29="","",ROUND(BASE_PRICES!I29*(1+DETAILS!$B$30)/DETAILS!$B$26,4)))</f>
        <v>27.12</v>
      </c>
      <c r="N29" s="32">
        <f xmlns="http://schemas.openxmlformats.org/spreadsheetml/2006/main">IF(25&lt;BASE_PRICES!D29,"",IF(BASE_PRICES!J29="","",ROUND(BASE_PRICES!J29*(1+DETAILS!$B$30)/DETAILS!$B$26,4)))</f>
        <v>27.12</v>
      </c>
      <c r="O29" s="32">
        <f xmlns="http://schemas.openxmlformats.org/spreadsheetml/2006/main">IF(30&lt;BASE_PRICES!D29,"",IF(BASE_PRICES!K29="","",ROUND(BASE_PRICES!K29*(1+DETAILS!$B$30)/DETAILS!$B$26,4)))</f>
        <v>27.12</v>
      </c>
      <c r="P29" s="32">
        <f xmlns="http://schemas.openxmlformats.org/spreadsheetml/2006/main">IF(50&lt;BASE_PRICES!D29,"",IF(BASE_PRICES!L29="","",ROUND(BASE_PRICES!L29*(1+DETAILS!$B$30)/DETAILS!$B$26,4)))</f>
        <v>27.12</v>
      </c>
      <c r="Q29" s="32">
        <f xmlns="http://schemas.openxmlformats.org/spreadsheetml/2006/main">IF(100&lt;BASE_PRICES!D29,"",IF(BASE_PRICES!M29="","",ROUND(BASE_PRICES!M29*(1+DETAILS!$B$30)/DETAILS!$B$26,4)))</f>
        <v>24.2272</v>
      </c>
      <c r="R29" s="32">
        <f xmlns="http://schemas.openxmlformats.org/spreadsheetml/2006/main">IF(250&lt;BASE_PRICES!D29,"",IF(BASE_PRICES!N29="","",ROUND(BASE_PRICES!N29*(1+DETAILS!$B$30)/DETAILS!$B$26,4)))</f>
        <v>24.2272</v>
      </c>
      <c r="S29" s="32">
        <f xmlns="http://schemas.openxmlformats.org/spreadsheetml/2006/main">IF(500&lt;BASE_PRICES!D29,"",IF(BASE_PRICES!O29="","",ROUND(BASE_PRICES!O29*(1+DETAILS!$B$30)/DETAILS!$B$26,4)))</f>
        <v>24.2272</v>
      </c>
      <c r="T29" s="32">
        <f xmlns="http://schemas.openxmlformats.org/spreadsheetml/2006/main">IF(1000&lt;BASE_PRICES!D29,"",IF(BASE_PRICES!P29="","",ROUND(BASE_PRICES!P29*(1+DETAILS!$B$30)/DETAILS!$B$26,4)))</f>
        <v>24.2272</v>
      </c>
      <c r="U29" s="23">
        <f>IF(ISNUMBER(ORDER!G30),IF(AND(ORDER!G30&gt;=I29,MOD(ORDER!G30,BASE_PRICES!E29)=0),MATCH(ORDER!G30,$J$4:$T$4,1),0),0)</f>
        <v>0</v>
      </c>
      <c r="V29" s="23" t="str">
        <f>IF(U29=0,"",IF(INDEX(BASE_PRICES!F29:P29,1,U29)="","",INDEX(BASE_PRICES!F29:P29,1,U29)))</f>
        <v/>
      </c>
      <c r="W29" s="20">
        <f>IF(ORDER!G30=0,0,IF(ISNUMBER(ORDER!H30),0,1))</f>
        <v>0</v>
      </c>
    </row>
    <row r="30" spans="1:23" ht="78" customHeight="1">
      <c r="A30" s="4" t="e" vm="26">
        <v>#VALUE!</v>
      </c>
      <c r="B30" s="1" t="str">
        <f>ORDER!B31</f>
        <v>Candle — amulet activation</v>
      </c>
      <c r="C30" s="1" t="str">
        <f>ORDER!C31</f>
        <v>Natural beeswax</v>
      </c>
      <c r="D30" s="1" t="str">
        <f>ORDER!D31</f>
        <v>150х20</v>
      </c>
      <c r="E30" s="19">
        <v>60</v>
      </c>
      <c r="F30" s="35" t="s">
        <v>133</v>
      </c>
      <c r="G30" s="32">
        <f xmlns="http://schemas.openxmlformats.org/spreadsheetml/2006/main">ROUND(BASE_PRICES!B30*(1+DETAILS!$B$30)/DETAILS!$B$26,4)</f>
        <v>37.15</v>
      </c>
      <c r="H30" s="33">
        <f>BASE_PRICES!C30</f>
        <v>1</v>
      </c>
      <c r="I30" s="33">
        <f>BASE_PRICES!D30</f>
        <v>5</v>
      </c>
      <c r="J30" s="32" t="str">
        <f xmlns="http://schemas.openxmlformats.org/spreadsheetml/2006/main">IF(1&lt;BASE_PRICES!D30,"",IF(BASE_PRICES!F30="","",ROUND(BASE_PRICES!F30*(1+DETAILS!$B$30)/DETAILS!$B$26,4)))</f>
        <v>0</v>
      </c>
      <c r="K30" s="32">
        <f xmlns="http://schemas.openxmlformats.org/spreadsheetml/2006/main">IF(5&lt;BASE_PRICES!D30,"",IF(BASE_PRICES!G30="","",ROUND(BASE_PRICES!G30*(1+DETAILS!$B$30)/DETAILS!$B$26,4)))</f>
        <v>31.206</v>
      </c>
      <c r="L30" s="32">
        <f xmlns="http://schemas.openxmlformats.org/spreadsheetml/2006/main">IF(10&lt;BASE_PRICES!D30,"",IF(BASE_PRICES!H30="","",ROUND(BASE_PRICES!H30*(1+DETAILS!$B$30)/DETAILS!$B$26,4)))</f>
        <v>27.862500000000001</v>
      </c>
      <c r="M30" s="32">
        <f xmlns="http://schemas.openxmlformats.org/spreadsheetml/2006/main">IF(20&lt;BASE_PRICES!D30,"",IF(BASE_PRICES!I30="","",ROUND(BASE_PRICES!I30*(1+DETAILS!$B$30)/DETAILS!$B$26,4)))</f>
        <v>27.862500000000001</v>
      </c>
      <c r="N30" s="32">
        <f xmlns="http://schemas.openxmlformats.org/spreadsheetml/2006/main">IF(25&lt;BASE_PRICES!D30,"",IF(BASE_PRICES!J30="","",ROUND(BASE_PRICES!J30*(1+DETAILS!$B$30)/DETAILS!$B$26,4)))</f>
        <v>27.862500000000001</v>
      </c>
      <c r="O30" s="32">
        <f xmlns="http://schemas.openxmlformats.org/spreadsheetml/2006/main">IF(30&lt;BASE_PRICES!D30,"",IF(BASE_PRICES!K30="","",ROUND(BASE_PRICES!K30*(1+DETAILS!$B$30)/DETAILS!$B$26,4)))</f>
        <v>27.862500000000001</v>
      </c>
      <c r="P30" s="32">
        <f xmlns="http://schemas.openxmlformats.org/spreadsheetml/2006/main">IF(50&lt;BASE_PRICES!D30,"",IF(BASE_PRICES!L30="","",ROUND(BASE_PRICES!L30*(1+DETAILS!$B$30)/DETAILS!$B$26,4)))</f>
        <v>27.862500000000001</v>
      </c>
      <c r="Q30" s="32">
        <f xmlns="http://schemas.openxmlformats.org/spreadsheetml/2006/main">IF(100&lt;BASE_PRICES!D30,"",IF(BASE_PRICES!M30="","",ROUND(BASE_PRICES!M30*(1+DETAILS!$B$30)/DETAILS!$B$26,4)))</f>
        <v>24.890499999999999</v>
      </c>
      <c r="R30" s="32">
        <f xmlns="http://schemas.openxmlformats.org/spreadsheetml/2006/main">IF(250&lt;BASE_PRICES!D30,"",IF(BASE_PRICES!N30="","",ROUND(BASE_PRICES!N30*(1+DETAILS!$B$30)/DETAILS!$B$26,4)))</f>
        <v>24.890499999999999</v>
      </c>
      <c r="S30" s="32">
        <f xmlns="http://schemas.openxmlformats.org/spreadsheetml/2006/main">IF(500&lt;BASE_PRICES!D30,"",IF(BASE_PRICES!O30="","",ROUND(BASE_PRICES!O30*(1+DETAILS!$B$30)/DETAILS!$B$26,4)))</f>
        <v>24.890499999999999</v>
      </c>
      <c r="T30" s="32">
        <f xmlns="http://schemas.openxmlformats.org/spreadsheetml/2006/main">IF(1000&lt;BASE_PRICES!D30,"",IF(BASE_PRICES!P30="","",ROUND(BASE_PRICES!P30*(1+DETAILS!$B$30)/DETAILS!$B$26,4)))</f>
        <v>24.890499999999999</v>
      </c>
      <c r="U30" s="23">
        <f>IF(ISNUMBER(ORDER!G31),IF(AND(ORDER!G31&gt;=I30,MOD(ORDER!G31,BASE_PRICES!E30)=0),MATCH(ORDER!G31,$J$4:$T$4,1),0),0)</f>
        <v>0</v>
      </c>
      <c r="V30" s="23" t="str">
        <f>IF(U30=0,"",IF(INDEX(BASE_PRICES!F30:P30,1,U30)="","",INDEX(BASE_PRICES!F30:P30,1,U30)))</f>
        <v/>
      </c>
      <c r="W30" s="20">
        <f>IF(ORDER!G31=0,0,IF(ISNUMBER(ORDER!H31),0,1))</f>
        <v>0</v>
      </c>
    </row>
    <row r="31" spans="1:23" ht="78" customHeight="1">
      <c r="A31" s="4" t="e" vm="27">
        <v>#VALUE!</v>
      </c>
      <c r="B31" s="5" t="str">
        <f>ORDER!B32</f>
        <v>Candle — opening paths</v>
      </c>
      <c r="C31" s="5" t="str">
        <f>ORDER!C32</f>
        <v>Orange</v>
      </c>
      <c r="D31" s="5" t="str">
        <f>ORDER!D32</f>
        <v>150х20</v>
      </c>
      <c r="E31" s="18">
        <v>60</v>
      </c>
      <c r="F31" s="35" t="s">
        <v>134</v>
      </c>
      <c r="G31" s="32">
        <f xmlns="http://schemas.openxmlformats.org/spreadsheetml/2006/main">ROUND(BASE_PRICES!B31*(1+DETAILS!$B$30)/DETAILS!$B$26,4)</f>
        <v>36.18</v>
      </c>
      <c r="H31" s="33">
        <f>BASE_PRICES!C31</f>
        <v>1</v>
      </c>
      <c r="I31" s="33">
        <f>BASE_PRICES!D31</f>
        <v>5</v>
      </c>
      <c r="J31" s="32" t="str">
        <f xmlns="http://schemas.openxmlformats.org/spreadsheetml/2006/main">IF(1&lt;BASE_PRICES!D31,"",IF(BASE_PRICES!F31="","",ROUND(BASE_PRICES!F31*(1+DETAILS!$B$30)/DETAILS!$B$26,4)))</f>
        <v>0</v>
      </c>
      <c r="K31" s="32">
        <f xmlns="http://schemas.openxmlformats.org/spreadsheetml/2006/main">IF(5&lt;BASE_PRICES!D31,"",IF(BASE_PRICES!G31="","",ROUND(BASE_PRICES!G31*(1+DETAILS!$B$30)/DETAILS!$B$26,4)))</f>
        <v>30.391200000000001</v>
      </c>
      <c r="L31" s="32">
        <f xmlns="http://schemas.openxmlformats.org/spreadsheetml/2006/main">IF(10&lt;BASE_PRICES!D31,"",IF(BASE_PRICES!H31="","",ROUND(BASE_PRICES!H31*(1+DETAILS!$B$30)/DETAILS!$B$26,4)))</f>
        <v>27.135000000000002</v>
      </c>
      <c r="M31" s="32">
        <f xmlns="http://schemas.openxmlformats.org/spreadsheetml/2006/main">IF(20&lt;BASE_PRICES!D31,"",IF(BASE_PRICES!I31="","",ROUND(BASE_PRICES!I31*(1+DETAILS!$B$30)/DETAILS!$B$26,4)))</f>
        <v>27.135000000000002</v>
      </c>
      <c r="N31" s="32">
        <f xmlns="http://schemas.openxmlformats.org/spreadsheetml/2006/main">IF(25&lt;BASE_PRICES!D31,"",IF(BASE_PRICES!J31="","",ROUND(BASE_PRICES!J31*(1+DETAILS!$B$30)/DETAILS!$B$26,4)))</f>
        <v>27.135000000000002</v>
      </c>
      <c r="O31" s="32">
        <f xmlns="http://schemas.openxmlformats.org/spreadsheetml/2006/main">IF(30&lt;BASE_PRICES!D31,"",IF(BASE_PRICES!K31="","",ROUND(BASE_PRICES!K31*(1+DETAILS!$B$30)/DETAILS!$B$26,4)))</f>
        <v>27.135000000000002</v>
      </c>
      <c r="P31" s="32">
        <f xmlns="http://schemas.openxmlformats.org/spreadsheetml/2006/main">IF(50&lt;BASE_PRICES!D31,"",IF(BASE_PRICES!L31="","",ROUND(BASE_PRICES!L31*(1+DETAILS!$B$30)/DETAILS!$B$26,4)))</f>
        <v>27.135000000000002</v>
      </c>
      <c r="Q31" s="32">
        <f xmlns="http://schemas.openxmlformats.org/spreadsheetml/2006/main">IF(100&lt;BASE_PRICES!D31,"",IF(BASE_PRICES!M31="","",ROUND(BASE_PRICES!M31*(1+DETAILS!$B$30)/DETAILS!$B$26,4)))</f>
        <v>24.240600000000001</v>
      </c>
      <c r="R31" s="32">
        <f xmlns="http://schemas.openxmlformats.org/spreadsheetml/2006/main">IF(250&lt;BASE_PRICES!D31,"",IF(BASE_PRICES!N31="","",ROUND(BASE_PRICES!N31*(1+DETAILS!$B$30)/DETAILS!$B$26,4)))</f>
        <v>24.240600000000001</v>
      </c>
      <c r="S31" s="32">
        <f xmlns="http://schemas.openxmlformats.org/spreadsheetml/2006/main">IF(500&lt;BASE_PRICES!D31,"",IF(BASE_PRICES!O31="","",ROUND(BASE_PRICES!O31*(1+DETAILS!$B$30)/DETAILS!$B$26,4)))</f>
        <v>24.240600000000001</v>
      </c>
      <c r="T31" s="32">
        <f xmlns="http://schemas.openxmlformats.org/spreadsheetml/2006/main">IF(1000&lt;BASE_PRICES!D31,"",IF(BASE_PRICES!P31="","",ROUND(BASE_PRICES!P31*(1+DETAILS!$B$30)/DETAILS!$B$26,4)))</f>
        <v>24.240600000000001</v>
      </c>
      <c r="U31" s="23">
        <f>IF(ISNUMBER(ORDER!G32),IF(AND(ORDER!G32&gt;=I31,MOD(ORDER!G32,BASE_PRICES!E31)=0),MATCH(ORDER!G32,$J$4:$T$4,1),0),0)</f>
        <v>0</v>
      </c>
      <c r="V31" s="23" t="str">
        <f>IF(U31=0,"",IF(INDEX(BASE_PRICES!F31:P31,1,U31)="","",INDEX(BASE_PRICES!F31:P31,1,U31)))</f>
        <v/>
      </c>
      <c r="W31" s="20">
        <f>IF(ORDER!G32=0,0,IF(ISNUMBER(ORDER!H32),0,1))</f>
        <v>0</v>
      </c>
    </row>
    <row r="32" spans="1:23" ht="78" customHeight="1">
      <c r="A32" s="4" t="e" vm="28">
        <v>#VALUE!</v>
      </c>
      <c r="B32" s="1" t="str">
        <f>ORDER!B33</f>
        <v>Renewal candle</v>
      </c>
      <c r="C32" s="1" t="str">
        <f>ORDER!C33</f>
        <v>Natural beeswax</v>
      </c>
      <c r="D32" s="1">
        <f>ORDER!D33</f>
        <v>0</v>
      </c>
      <c r="E32" s="19">
        <v>45</v>
      </c>
      <c r="F32" s="35" t="s">
        <v>135</v>
      </c>
      <c r="G32" s="32">
        <f xmlns="http://schemas.openxmlformats.org/spreadsheetml/2006/main">ROUND(BASE_PRICES!B32*(1+DETAILS!$B$30)/DETAILS!$B$26,4)</f>
        <v>26.9</v>
      </c>
      <c r="H32" s="33">
        <f>BASE_PRICES!C32</f>
        <v>1</v>
      </c>
      <c r="I32" s="33">
        <f>BASE_PRICES!D32</f>
        <v>1</v>
      </c>
      <c r="J32" s="32">
        <f xmlns="http://schemas.openxmlformats.org/spreadsheetml/2006/main">IF(1&lt;BASE_PRICES!D32,"",IF(BASE_PRICES!F32="","",ROUND(BASE_PRICES!F32*(1+DETAILS!$B$30)/DETAILS!$B$26,4)))</f>
        <v>26.9</v>
      </c>
      <c r="K32" s="32">
        <f xmlns="http://schemas.openxmlformats.org/spreadsheetml/2006/main">IF(5&lt;BASE_PRICES!D32,"",IF(BASE_PRICES!G32="","",ROUND(BASE_PRICES!G32*(1+DETAILS!$B$30)/DETAILS!$B$26,4)))</f>
        <v>26.9</v>
      </c>
      <c r="L32" s="32">
        <f xmlns="http://schemas.openxmlformats.org/spreadsheetml/2006/main">IF(10&lt;BASE_PRICES!D32,"",IF(BASE_PRICES!H32="","",ROUND(BASE_PRICES!H32*(1+DETAILS!$B$30)/DETAILS!$B$26,4)))</f>
        <v>18.829999999999998</v>
      </c>
      <c r="M32" s="32">
        <f xmlns="http://schemas.openxmlformats.org/spreadsheetml/2006/main">IF(20&lt;BASE_PRICES!D32,"",IF(BASE_PRICES!I32="","",ROUND(BASE_PRICES!I32*(1+DETAILS!$B$30)/DETAILS!$B$26,4)))</f>
        <v>18.829999999999998</v>
      </c>
      <c r="N32" s="32">
        <f xmlns="http://schemas.openxmlformats.org/spreadsheetml/2006/main">IF(25&lt;BASE_PRICES!D32,"",IF(BASE_PRICES!J32="","",ROUND(BASE_PRICES!J32*(1+DETAILS!$B$30)/DETAILS!$B$26,4)))</f>
        <v>18.829999999999998</v>
      </c>
      <c r="O32" s="32">
        <f xmlns="http://schemas.openxmlformats.org/spreadsheetml/2006/main">IF(30&lt;BASE_PRICES!D32,"",IF(BASE_PRICES!K32="","",ROUND(BASE_PRICES!K32*(1+DETAILS!$B$30)/DETAILS!$B$26,4)))</f>
        <v>18.829999999999998</v>
      </c>
      <c r="P32" s="32">
        <f xmlns="http://schemas.openxmlformats.org/spreadsheetml/2006/main">IF(50&lt;BASE_PRICES!D32,"",IF(BASE_PRICES!L32="","",ROUND(BASE_PRICES!L32*(1+DETAILS!$B$30)/DETAILS!$B$26,4)))</f>
        <v>18.829999999999998</v>
      </c>
      <c r="Q32" s="32">
        <f xmlns="http://schemas.openxmlformats.org/spreadsheetml/2006/main">IF(100&lt;BASE_PRICES!D32,"",IF(BASE_PRICES!M32="","",ROUND(BASE_PRICES!M32*(1+DETAILS!$B$30)/DETAILS!$B$26,4)))</f>
        <v>13.718999999999999</v>
      </c>
      <c r="R32" s="32">
        <f xmlns="http://schemas.openxmlformats.org/spreadsheetml/2006/main">IF(250&lt;BASE_PRICES!D32,"",IF(BASE_PRICES!N32="","",ROUND(BASE_PRICES!N32*(1+DETAILS!$B$30)/DETAILS!$B$26,4)))</f>
        <v>13.718999999999999</v>
      </c>
      <c r="S32" s="32">
        <f xmlns="http://schemas.openxmlformats.org/spreadsheetml/2006/main">IF(500&lt;BASE_PRICES!D32,"",IF(BASE_PRICES!O32="","",ROUND(BASE_PRICES!O32*(1+DETAILS!$B$30)/DETAILS!$B$26,4)))</f>
        <v>13.718999999999999</v>
      </c>
      <c r="T32" s="32">
        <f xmlns="http://schemas.openxmlformats.org/spreadsheetml/2006/main">IF(1000&lt;BASE_PRICES!D32,"",IF(BASE_PRICES!P32="","",ROUND(BASE_PRICES!P32*(1+DETAILS!$B$30)/DETAILS!$B$26,4)))</f>
        <v>13.718999999999999</v>
      </c>
      <c r="U32" s="23">
        <f>IF(ISNUMBER(ORDER!G33),IF(AND(ORDER!G33&gt;=I32,MOD(ORDER!G33,BASE_PRICES!E32)=0),MATCH(ORDER!G33,$J$4:$T$4,1),0),0)</f>
        <v>0</v>
      </c>
      <c r="V32" s="23" t="str">
        <f>IF(U32=0,"",IF(INDEX(BASE_PRICES!F32:P32,1,U32)="","",INDEX(BASE_PRICES!F32:P32,1,U32)))</f>
        <v/>
      </c>
      <c r="W32" s="20">
        <f>IF(ORDER!G33=0,0,IF(ISNUMBER(ORDER!H33),0,1))</f>
        <v>0</v>
      </c>
    </row>
    <row r="33" spans="1:23" ht="78" customHeight="1">
      <c r="A33" s="4" t="e" vm="29">
        <v>#VALUE!</v>
      </c>
      <c r="B33" s="5" t="str">
        <f>ORDER!B34</f>
        <v>Candle — home harmony</v>
      </c>
      <c r="C33" s="5" t="str">
        <f>ORDER!C34</f>
        <v/>
      </c>
      <c r="D33" s="5" t="str">
        <f>ORDER!D34</f>
        <v>150х20</v>
      </c>
      <c r="E33" s="18">
        <v>60</v>
      </c>
      <c r="F33" s="35" t="s">
        <v>136</v>
      </c>
      <c r="G33" s="32">
        <f xmlns="http://schemas.openxmlformats.org/spreadsheetml/2006/main">ROUND(BASE_PRICES!B33*(1+DETAILS!$B$30)/DETAILS!$B$26,4)</f>
        <v>38.54</v>
      </c>
      <c r="H33" s="33">
        <f>BASE_PRICES!C33</f>
        <v>1</v>
      </c>
      <c r="I33" s="33">
        <f>BASE_PRICES!D33</f>
        <v>5</v>
      </c>
      <c r="J33" s="32" t="str">
        <f xmlns="http://schemas.openxmlformats.org/spreadsheetml/2006/main">IF(1&lt;BASE_PRICES!D33,"",IF(BASE_PRICES!F33="","",ROUND(BASE_PRICES!F33*(1+DETAILS!$B$30)/DETAILS!$B$26,4)))</f>
        <v>0</v>
      </c>
      <c r="K33" s="32">
        <f xmlns="http://schemas.openxmlformats.org/spreadsheetml/2006/main">IF(5&lt;BASE_PRICES!D33,"",IF(BASE_PRICES!G33="","",ROUND(BASE_PRICES!G33*(1+DETAILS!$B$30)/DETAILS!$B$26,4)))</f>
        <v>32.373600000000003</v>
      </c>
      <c r="L33" s="32">
        <f xmlns="http://schemas.openxmlformats.org/spreadsheetml/2006/main">IF(10&lt;BASE_PRICES!D33,"",IF(BASE_PRICES!H33="","",ROUND(BASE_PRICES!H33*(1+DETAILS!$B$30)/DETAILS!$B$26,4)))</f>
        <v>28.905000000000001</v>
      </c>
      <c r="M33" s="32">
        <f xmlns="http://schemas.openxmlformats.org/spreadsheetml/2006/main">IF(20&lt;BASE_PRICES!D33,"",IF(BASE_PRICES!I33="","",ROUND(BASE_PRICES!I33*(1+DETAILS!$B$30)/DETAILS!$B$26,4)))</f>
        <v>28.905000000000001</v>
      </c>
      <c r="N33" s="32">
        <f xmlns="http://schemas.openxmlformats.org/spreadsheetml/2006/main">IF(25&lt;BASE_PRICES!D33,"",IF(BASE_PRICES!J33="","",ROUND(BASE_PRICES!J33*(1+DETAILS!$B$30)/DETAILS!$B$26,4)))</f>
        <v>28.905000000000001</v>
      </c>
      <c r="O33" s="32">
        <f xmlns="http://schemas.openxmlformats.org/spreadsheetml/2006/main">IF(30&lt;BASE_PRICES!D33,"",IF(BASE_PRICES!K33="","",ROUND(BASE_PRICES!K33*(1+DETAILS!$B$30)/DETAILS!$B$26,4)))</f>
        <v>28.905000000000001</v>
      </c>
      <c r="P33" s="32">
        <f xmlns="http://schemas.openxmlformats.org/spreadsheetml/2006/main">IF(50&lt;BASE_PRICES!D33,"",IF(BASE_PRICES!L33="","",ROUND(BASE_PRICES!L33*(1+DETAILS!$B$30)/DETAILS!$B$26,4)))</f>
        <v>28.905000000000001</v>
      </c>
      <c r="Q33" s="32">
        <f xmlns="http://schemas.openxmlformats.org/spreadsheetml/2006/main">IF(100&lt;BASE_PRICES!D33,"",IF(BASE_PRICES!M33="","",ROUND(BASE_PRICES!M33*(1+DETAILS!$B$30)/DETAILS!$B$26,4)))</f>
        <v>25.8218</v>
      </c>
      <c r="R33" s="32">
        <f xmlns="http://schemas.openxmlformats.org/spreadsheetml/2006/main">IF(250&lt;BASE_PRICES!D33,"",IF(BASE_PRICES!N33="","",ROUND(BASE_PRICES!N33*(1+DETAILS!$B$30)/DETAILS!$B$26,4)))</f>
        <v>25.8218</v>
      </c>
      <c r="S33" s="32">
        <f xmlns="http://schemas.openxmlformats.org/spreadsheetml/2006/main">IF(500&lt;BASE_PRICES!D33,"",IF(BASE_PRICES!O33="","",ROUND(BASE_PRICES!O33*(1+DETAILS!$B$30)/DETAILS!$B$26,4)))</f>
        <v>25.8218</v>
      </c>
      <c r="T33" s="32">
        <f xmlns="http://schemas.openxmlformats.org/spreadsheetml/2006/main">IF(1000&lt;BASE_PRICES!D33,"",IF(BASE_PRICES!P33="","",ROUND(BASE_PRICES!P33*(1+DETAILS!$B$30)/DETAILS!$B$26,4)))</f>
        <v>25.8218</v>
      </c>
      <c r="U33" s="23">
        <f>IF(ISNUMBER(ORDER!G34),IF(AND(ORDER!G34&gt;=I33,MOD(ORDER!G34,BASE_PRICES!E33)=0),MATCH(ORDER!G34,$J$4:$T$4,1),0),0)</f>
        <v>0</v>
      </c>
      <c r="V33" s="23" t="str">
        <f>IF(U33=0,"",IF(INDEX(BASE_PRICES!F33:P33,1,U33)="","",INDEX(BASE_PRICES!F33:P33,1,U33)))</f>
        <v/>
      </c>
      <c r="W33" s="20">
        <f>IF(ORDER!G34=0,0,IF(ISNUMBER(ORDER!H34),0,1))</f>
        <v>0</v>
      </c>
    </row>
    <row r="34" spans="1:23" ht="78" customHeight="1">
      <c r="A34" s="4" t="e" vm="30">
        <v>#VALUE!</v>
      </c>
      <c r="B34" s="1" t="str">
        <f>ORDER!B35</f>
        <v>Candle — relationship harmony</v>
      </c>
      <c r="C34" s="1" t="str">
        <f>ORDER!C35</f>
        <v>Natural beeswax</v>
      </c>
      <c r="D34" s="1">
        <f>ORDER!D35</f>
        <v>0</v>
      </c>
      <c r="E34" s="19">
        <v>15</v>
      </c>
      <c r="F34" s="35" t="s">
        <v>137</v>
      </c>
      <c r="G34" s="32">
        <f xmlns="http://schemas.openxmlformats.org/spreadsheetml/2006/main">ROUND(BASE_PRICES!B34*(1+DETAILS!$B$30)/DETAILS!$B$26,4)</f>
        <v>24.92</v>
      </c>
      <c r="H34" s="33">
        <f>BASE_PRICES!C34</f>
        <v>1</v>
      </c>
      <c r="I34" s="33">
        <f>BASE_PRICES!D34</f>
        <v>1</v>
      </c>
      <c r="J34" s="32">
        <f xmlns="http://schemas.openxmlformats.org/spreadsheetml/2006/main">IF(1&lt;BASE_PRICES!D34,"",IF(BASE_PRICES!F34="","",ROUND(BASE_PRICES!F34*(1+DETAILS!$B$30)/DETAILS!$B$26,4)))</f>
        <v>24.92</v>
      </c>
      <c r="K34" s="32">
        <f xmlns="http://schemas.openxmlformats.org/spreadsheetml/2006/main">IF(5&lt;BASE_PRICES!D34,"",IF(BASE_PRICES!G34="","",ROUND(BASE_PRICES!G34*(1+DETAILS!$B$30)/DETAILS!$B$26,4)))</f>
        <v>24.92</v>
      </c>
      <c r="L34" s="32">
        <f xmlns="http://schemas.openxmlformats.org/spreadsheetml/2006/main">IF(10&lt;BASE_PRICES!D34,"",IF(BASE_PRICES!H34="","",ROUND(BASE_PRICES!H34*(1+DETAILS!$B$30)/DETAILS!$B$26,4)))</f>
        <v>14.4536</v>
      </c>
      <c r="M34" s="32">
        <f xmlns="http://schemas.openxmlformats.org/spreadsheetml/2006/main">IF(20&lt;BASE_PRICES!D34,"",IF(BASE_PRICES!I34="","",ROUND(BASE_PRICES!I34*(1+DETAILS!$B$30)/DETAILS!$B$26,4)))</f>
        <v>14.4536</v>
      </c>
      <c r="N34" s="32">
        <f xmlns="http://schemas.openxmlformats.org/spreadsheetml/2006/main">IF(25&lt;BASE_PRICES!D34,"",IF(BASE_PRICES!J34="","",ROUND(BASE_PRICES!J34*(1+DETAILS!$B$30)/DETAILS!$B$26,4)))</f>
        <v>14.4536</v>
      </c>
      <c r="O34" s="32">
        <f xmlns="http://schemas.openxmlformats.org/spreadsheetml/2006/main">IF(30&lt;BASE_PRICES!D34,"",IF(BASE_PRICES!K34="","",ROUND(BASE_PRICES!K34*(1+DETAILS!$B$30)/DETAILS!$B$26,4)))</f>
        <v>14.4536</v>
      </c>
      <c r="P34" s="32">
        <f xmlns="http://schemas.openxmlformats.org/spreadsheetml/2006/main">IF(50&lt;BASE_PRICES!D34,"",IF(BASE_PRICES!L34="","",ROUND(BASE_PRICES!L34*(1+DETAILS!$B$30)/DETAILS!$B$26,4)))</f>
        <v>14.4536</v>
      </c>
      <c r="Q34" s="32">
        <f xmlns="http://schemas.openxmlformats.org/spreadsheetml/2006/main">IF(100&lt;BASE_PRICES!D34,"",IF(BASE_PRICES!M34="","",ROUND(BASE_PRICES!M34*(1+DETAILS!$B$30)/DETAILS!$B$26,4)))</f>
        <v>12.709199999999999</v>
      </c>
      <c r="R34" s="32">
        <f xmlns="http://schemas.openxmlformats.org/spreadsheetml/2006/main">IF(250&lt;BASE_PRICES!D34,"",IF(BASE_PRICES!N34="","",ROUND(BASE_PRICES!N34*(1+DETAILS!$B$30)/DETAILS!$B$26,4)))</f>
        <v>12.709199999999999</v>
      </c>
      <c r="S34" s="32">
        <f xmlns="http://schemas.openxmlformats.org/spreadsheetml/2006/main">IF(500&lt;BASE_PRICES!D34,"",IF(BASE_PRICES!O34="","",ROUND(BASE_PRICES!O34*(1+DETAILS!$B$30)/DETAILS!$B$26,4)))</f>
        <v>12.709199999999999</v>
      </c>
      <c r="T34" s="32">
        <f xmlns="http://schemas.openxmlformats.org/spreadsheetml/2006/main">IF(1000&lt;BASE_PRICES!D34,"",IF(BASE_PRICES!P34="","",ROUND(BASE_PRICES!P34*(1+DETAILS!$B$30)/DETAILS!$B$26,4)))</f>
        <v>12.709199999999999</v>
      </c>
      <c r="U34" s="23">
        <f>IF(ISNUMBER(ORDER!G35),IF(AND(ORDER!G35&gt;=I34,MOD(ORDER!G35,BASE_PRICES!E34)=0),MATCH(ORDER!G35,$J$4:$T$4,1),0),0)</f>
        <v>0</v>
      </c>
      <c r="V34" s="23" t="str">
        <f>IF(U34=0,"",IF(INDEX(BASE_PRICES!F34:P34,1,U34)="","",INDEX(BASE_PRICES!F34:P34,1,U34)))</f>
        <v/>
      </c>
      <c r="W34" s="20">
        <f>IF(ORDER!G35=0,0,IF(ISNUMBER(ORDER!H35),0,1))</f>
        <v>0</v>
      </c>
    </row>
    <row r="35" spans="1:23" ht="78" customHeight="1">
      <c r="A35" s="4" t="e" vm="31">
        <v>#VALUE!</v>
      </c>
      <c r="B35" s="5" t="str">
        <f>ORDER!B36</f>
        <v>Hecate candle</v>
      </c>
      <c r="C35" s="5" t="str">
        <f>ORDER!C36</f>
        <v/>
      </c>
      <c r="D35" s="5" t="str">
        <f>ORDER!D36</f>
        <v>60x55x2mm</v>
      </c>
      <c r="E35" s="18">
        <v>45</v>
      </c>
      <c r="F35" s="35" t="s">
        <v>138</v>
      </c>
      <c r="G35" s="32">
        <f xmlns="http://schemas.openxmlformats.org/spreadsheetml/2006/main">ROUND(BASE_PRICES!B35*(1+DETAILS!$B$30)/DETAILS!$B$26,4)</f>
        <v>59.99</v>
      </c>
      <c r="H35" s="33">
        <f>BASE_PRICES!C35</f>
        <v>1</v>
      </c>
      <c r="I35" s="33">
        <f>BASE_PRICES!D35</f>
        <v>1</v>
      </c>
      <c r="J35" s="32">
        <f xmlns="http://schemas.openxmlformats.org/spreadsheetml/2006/main">IF(1&lt;BASE_PRICES!D35,"",IF(BASE_PRICES!F35="","",ROUND(BASE_PRICES!F35*(1+DETAILS!$B$30)/DETAILS!$B$26,4)))</f>
        <v>59.99</v>
      </c>
      <c r="K35" s="32">
        <f xmlns="http://schemas.openxmlformats.org/spreadsheetml/2006/main">IF(5&lt;BASE_PRICES!D35,"",IF(BASE_PRICES!G35="","",ROUND(BASE_PRICES!G35*(1+DETAILS!$B$30)/DETAILS!$B$26,4)))</f>
        <v>44.99</v>
      </c>
      <c r="L35" s="32">
        <f xmlns="http://schemas.openxmlformats.org/spreadsheetml/2006/main">IF(10&lt;BASE_PRICES!D35,"",IF(BASE_PRICES!H35="","",ROUND(BASE_PRICES!H35*(1+DETAILS!$B$30)/DETAILS!$B$26,4)))</f>
        <v>41.993000000000002</v>
      </c>
      <c r="M35" s="32">
        <f xmlns="http://schemas.openxmlformats.org/spreadsheetml/2006/main">IF(20&lt;BASE_PRICES!D35,"",IF(BASE_PRICES!I35="","",ROUND(BASE_PRICES!I35*(1+DETAILS!$B$30)/DETAILS!$B$26,4)))</f>
        <v>40.79</v>
      </c>
      <c r="N35" s="32">
        <f xmlns="http://schemas.openxmlformats.org/spreadsheetml/2006/main">IF(25&lt;BASE_PRICES!D35,"",IF(BASE_PRICES!J35="","",ROUND(BASE_PRICES!J35*(1+DETAILS!$B$30)/DETAILS!$B$26,4)))</f>
        <v>40.79</v>
      </c>
      <c r="O35" s="32">
        <f xmlns="http://schemas.openxmlformats.org/spreadsheetml/2006/main">IF(30&lt;BASE_PRICES!D35,"",IF(BASE_PRICES!K35="","",ROUND(BASE_PRICES!K35*(1+DETAILS!$B$30)/DETAILS!$B$26,4)))</f>
        <v>40.79</v>
      </c>
      <c r="P35" s="32">
        <f xmlns="http://schemas.openxmlformats.org/spreadsheetml/2006/main">IF(50&lt;BASE_PRICES!D35,"",IF(BASE_PRICES!L35="","",ROUND(BASE_PRICES!L35*(1+DETAILS!$B$30)/DETAILS!$B$26,4)))</f>
        <v>38.99</v>
      </c>
      <c r="Q35" s="32">
        <f xmlns="http://schemas.openxmlformats.org/spreadsheetml/2006/main">IF(100&lt;BASE_PRICES!D35,"",IF(BASE_PRICES!M35="","",ROUND(BASE_PRICES!M35*(1+DETAILS!$B$30)/DETAILS!$B$26,4)))</f>
        <v>30.594899999999999</v>
      </c>
      <c r="R35" s="32" t="str">
        <f xmlns="http://schemas.openxmlformats.org/spreadsheetml/2006/main">IF(250&lt;BASE_PRICES!D35,"",IF(BASE_PRICES!N35="","",ROUND(BASE_PRICES!N35*(1+DETAILS!$B$30)/DETAILS!$B$26,4)))</f>
        <v>0</v>
      </c>
      <c r="S35" s="32" t="str">
        <f xmlns="http://schemas.openxmlformats.org/spreadsheetml/2006/main">IF(500&lt;BASE_PRICES!D35,"",IF(BASE_PRICES!O35="","",ROUND(BASE_PRICES!O35*(1+DETAILS!$B$30)/DETAILS!$B$26,4)))</f>
        <v>0</v>
      </c>
      <c r="T35" s="32" t="str">
        <f xmlns="http://schemas.openxmlformats.org/spreadsheetml/2006/main">IF(1000&lt;BASE_PRICES!D35,"",IF(BASE_PRICES!P35="","",ROUND(BASE_PRICES!P35*(1+DETAILS!$B$30)/DETAILS!$B$26,4)))</f>
        <v>0</v>
      </c>
      <c r="U35" s="23">
        <f>IF(ISNUMBER(ORDER!G36),IF(AND(ORDER!G36&gt;=I35,MOD(ORDER!G36,BASE_PRICES!E35)=0),MATCH(ORDER!G36,$J$4:$T$4,1),0),0)</f>
        <v>0</v>
      </c>
      <c r="V35" s="23" t="str">
        <f>IF(U35=0,"",IF(INDEX(BASE_PRICES!F35:P35,1,U35)="","",INDEX(BASE_PRICES!F35:P35,1,U35)))</f>
        <v/>
      </c>
      <c r="W35" s="20">
        <f>IF(ORDER!G36=0,0,IF(ISNUMBER(ORDER!H36),0,1))</f>
        <v>0</v>
      </c>
    </row>
    <row r="36" spans="1:23" ht="78" customHeight="1">
      <c r="A36" s="4" t="e" vm="32">
        <v>#VALUE!</v>
      </c>
      <c r="B36" s="1" t="str">
        <f>ORDER!B37</f>
        <v>Candle — money and financial success</v>
      </c>
      <c r="C36" s="1" t="str">
        <f>ORDER!C37</f>
        <v>Green</v>
      </c>
      <c r="D36" s="1">
        <f>ORDER!D37</f>
        <v>0</v>
      </c>
      <c r="E36" s="19">
        <v>60</v>
      </c>
      <c r="F36" s="36" t="s">
        <v>139</v>
      </c>
      <c r="G36" s="32">
        <f xmlns="http://schemas.openxmlformats.org/spreadsheetml/2006/main">ROUND(BASE_PRICES!B36*(1+DETAILS!$B$30)/DETAILS!$B$26,4)</f>
        <v>35.79</v>
      </c>
      <c r="H36" s="33">
        <f>BASE_PRICES!C36</f>
        <v>1</v>
      </c>
      <c r="I36" s="33">
        <f>BASE_PRICES!D36</f>
        <v>5</v>
      </c>
      <c r="J36" s="32" t="str">
        <f xmlns="http://schemas.openxmlformats.org/spreadsheetml/2006/main">IF(1&lt;BASE_PRICES!D36,"",IF(BASE_PRICES!F36="","",ROUND(BASE_PRICES!F36*(1+DETAILS!$B$30)/DETAILS!$B$26,4)))</f>
        <v>0</v>
      </c>
      <c r="K36" s="32">
        <f xmlns="http://schemas.openxmlformats.org/spreadsheetml/2006/main">IF(5&lt;BASE_PRICES!D36,"",IF(BASE_PRICES!G36="","",ROUND(BASE_PRICES!G36*(1+DETAILS!$B$30)/DETAILS!$B$26,4)))</f>
        <v>30.063600000000001</v>
      </c>
      <c r="L36" s="32">
        <f xmlns="http://schemas.openxmlformats.org/spreadsheetml/2006/main">IF(10&lt;BASE_PRICES!D36,"",IF(BASE_PRICES!H36="","",ROUND(BASE_PRICES!H36*(1+DETAILS!$B$30)/DETAILS!$B$26,4)))</f>
        <v>26.842500000000001</v>
      </c>
      <c r="M36" s="32">
        <f xmlns="http://schemas.openxmlformats.org/spreadsheetml/2006/main">IF(20&lt;BASE_PRICES!D36,"",IF(BASE_PRICES!I36="","",ROUND(BASE_PRICES!I36*(1+DETAILS!$B$30)/DETAILS!$B$26,4)))</f>
        <v>26.842500000000001</v>
      </c>
      <c r="N36" s="32">
        <f xmlns="http://schemas.openxmlformats.org/spreadsheetml/2006/main">IF(25&lt;BASE_PRICES!D36,"",IF(BASE_PRICES!J36="","",ROUND(BASE_PRICES!J36*(1+DETAILS!$B$30)/DETAILS!$B$26,4)))</f>
        <v>26.842500000000001</v>
      </c>
      <c r="O36" s="32">
        <f xmlns="http://schemas.openxmlformats.org/spreadsheetml/2006/main">IF(30&lt;BASE_PRICES!D36,"",IF(BASE_PRICES!K36="","",ROUND(BASE_PRICES!K36*(1+DETAILS!$B$30)/DETAILS!$B$26,4)))</f>
        <v>26.842500000000001</v>
      </c>
      <c r="P36" s="32">
        <f xmlns="http://schemas.openxmlformats.org/spreadsheetml/2006/main">IF(50&lt;BASE_PRICES!D36,"",IF(BASE_PRICES!L36="","",ROUND(BASE_PRICES!L36*(1+DETAILS!$B$30)/DETAILS!$B$26,4)))</f>
        <v>26.842500000000001</v>
      </c>
      <c r="Q36" s="32">
        <f xmlns="http://schemas.openxmlformats.org/spreadsheetml/2006/main">IF(100&lt;BASE_PRICES!D36,"",IF(BASE_PRICES!M36="","",ROUND(BASE_PRICES!M36*(1+DETAILS!$B$30)/DETAILS!$B$26,4)))</f>
        <v>23.979299999999999</v>
      </c>
      <c r="R36" s="32">
        <f xmlns="http://schemas.openxmlformats.org/spreadsheetml/2006/main">IF(250&lt;BASE_PRICES!D36,"",IF(BASE_PRICES!N36="","",ROUND(BASE_PRICES!N36*(1+DETAILS!$B$30)/DETAILS!$B$26,4)))</f>
        <v>23.979299999999999</v>
      </c>
      <c r="S36" s="32">
        <f xmlns="http://schemas.openxmlformats.org/spreadsheetml/2006/main">IF(500&lt;BASE_PRICES!D36,"",IF(BASE_PRICES!O36="","",ROUND(BASE_PRICES!O36*(1+DETAILS!$B$30)/DETAILS!$B$26,4)))</f>
        <v>23.979299999999999</v>
      </c>
      <c r="T36" s="32">
        <f xmlns="http://schemas.openxmlformats.org/spreadsheetml/2006/main">IF(1000&lt;BASE_PRICES!D36,"",IF(BASE_PRICES!P36="","",ROUND(BASE_PRICES!P36*(1+DETAILS!$B$30)/DETAILS!$B$26,4)))</f>
        <v>23.979299999999999</v>
      </c>
      <c r="U36" s="23">
        <f>IF(ISNUMBER(ORDER!G37),IF(AND(ORDER!G37&gt;=I36,MOD(ORDER!G37,BASE_PRICES!E36)=0),MATCH(ORDER!G37,$J$4:$T$4,1),0),0)</f>
        <v>0</v>
      </c>
      <c r="V36" s="23" t="str">
        <f>IF(U36=0,"",IF(INDEX(BASE_PRICES!F36:P36,1,U36)="","",INDEX(BASE_PRICES!F36:P36,1,U36)))</f>
        <v/>
      </c>
      <c r="W36" s="20">
        <f>IF(ORDER!G37=0,0,IF(ISNUMBER(ORDER!H37),0,1))</f>
        <v>0</v>
      </c>
    </row>
    <row r="37" spans="1:23" ht="78" customHeight="1">
      <c r="A37" s="4" t="e" vm="33">
        <v>#VALUE!</v>
      </c>
      <c r="B37" s="5" t="str">
        <f>ORDER!B38</f>
        <v>Business candle</v>
      </c>
      <c r="C37" s="5" t="str">
        <f>ORDER!C38</f>
        <v/>
      </c>
      <c r="D37" s="5">
        <f>ORDER!D38</f>
        <v>0</v>
      </c>
      <c r="E37" s="18">
        <v>60</v>
      </c>
      <c r="F37" s="35" t="s">
        <v>140</v>
      </c>
      <c r="G37" s="32">
        <f xmlns="http://schemas.openxmlformats.org/spreadsheetml/2006/main">ROUND(BASE_PRICES!B37*(1+DETAILS!$B$30)/DETAILS!$B$26,4)</f>
        <v>37.450000000000003</v>
      </c>
      <c r="H37" s="33">
        <f>BASE_PRICES!C37</f>
        <v>1</v>
      </c>
      <c r="I37" s="33">
        <f>BASE_PRICES!D37</f>
        <v>5</v>
      </c>
      <c r="J37" s="32" t="str">
        <f xmlns="http://schemas.openxmlformats.org/spreadsheetml/2006/main">IF(1&lt;BASE_PRICES!D37,"",IF(BASE_PRICES!F37="","",ROUND(BASE_PRICES!F37*(1+DETAILS!$B$30)/DETAILS!$B$26,4)))</f>
        <v>0</v>
      </c>
      <c r="K37" s="32">
        <f xmlns="http://schemas.openxmlformats.org/spreadsheetml/2006/main">IF(5&lt;BASE_PRICES!D37,"",IF(BASE_PRICES!G37="","",ROUND(BASE_PRICES!G37*(1+DETAILS!$B$30)/DETAILS!$B$26,4)))</f>
        <v>31.457999999999998</v>
      </c>
      <c r="L37" s="32">
        <f xmlns="http://schemas.openxmlformats.org/spreadsheetml/2006/main">IF(10&lt;BASE_PRICES!D37,"",IF(BASE_PRICES!H37="","",ROUND(BASE_PRICES!H37*(1+DETAILS!$B$30)/DETAILS!$B$26,4)))</f>
        <v>28.087499999999999</v>
      </c>
      <c r="M37" s="32">
        <f xmlns="http://schemas.openxmlformats.org/spreadsheetml/2006/main">IF(20&lt;BASE_PRICES!D37,"",IF(BASE_PRICES!I37="","",ROUND(BASE_PRICES!I37*(1+DETAILS!$B$30)/DETAILS!$B$26,4)))</f>
        <v>28.087499999999999</v>
      </c>
      <c r="N37" s="32">
        <f xmlns="http://schemas.openxmlformats.org/spreadsheetml/2006/main">IF(25&lt;BASE_PRICES!D37,"",IF(BASE_PRICES!J37="","",ROUND(BASE_PRICES!J37*(1+DETAILS!$B$30)/DETAILS!$B$26,4)))</f>
        <v>28.087499999999999</v>
      </c>
      <c r="O37" s="32">
        <f xmlns="http://schemas.openxmlformats.org/spreadsheetml/2006/main">IF(30&lt;BASE_PRICES!D37,"",IF(BASE_PRICES!K37="","",ROUND(BASE_PRICES!K37*(1+DETAILS!$B$30)/DETAILS!$B$26,4)))</f>
        <v>28.087499999999999</v>
      </c>
      <c r="P37" s="32">
        <f xmlns="http://schemas.openxmlformats.org/spreadsheetml/2006/main">IF(50&lt;BASE_PRICES!D37,"",IF(BASE_PRICES!L37="","",ROUND(BASE_PRICES!L37*(1+DETAILS!$B$30)/DETAILS!$B$26,4)))</f>
        <v>28.087499999999999</v>
      </c>
      <c r="Q37" s="32">
        <f xmlns="http://schemas.openxmlformats.org/spreadsheetml/2006/main">IF(100&lt;BASE_PRICES!D37,"",IF(BASE_PRICES!M37="","",ROUND(BASE_PRICES!M37*(1+DETAILS!$B$30)/DETAILS!$B$26,4)))</f>
        <v>25.0915</v>
      </c>
      <c r="R37" s="32">
        <f xmlns="http://schemas.openxmlformats.org/spreadsheetml/2006/main">IF(250&lt;BASE_PRICES!D37,"",IF(BASE_PRICES!N37="","",ROUND(BASE_PRICES!N37*(1+DETAILS!$B$30)/DETAILS!$B$26,4)))</f>
        <v>25.0915</v>
      </c>
      <c r="S37" s="32">
        <f xmlns="http://schemas.openxmlformats.org/spreadsheetml/2006/main">IF(500&lt;BASE_PRICES!D37,"",IF(BASE_PRICES!O37="","",ROUND(BASE_PRICES!O37*(1+DETAILS!$B$30)/DETAILS!$B$26,4)))</f>
        <v>25.0915</v>
      </c>
      <c r="T37" s="32">
        <f xmlns="http://schemas.openxmlformats.org/spreadsheetml/2006/main">IF(1000&lt;BASE_PRICES!D37,"",IF(BASE_PRICES!P37="","",ROUND(BASE_PRICES!P37*(1+DETAILS!$B$30)/DETAILS!$B$26,4)))</f>
        <v>25.0915</v>
      </c>
      <c r="U37" s="23">
        <f>IF(ISNUMBER(ORDER!G38),IF(AND(ORDER!G38&gt;=I37,MOD(ORDER!G38,BASE_PRICES!E37)=0),MATCH(ORDER!G38,$J$4:$T$4,1),0),0)</f>
        <v>0</v>
      </c>
      <c r="V37" s="23" t="str">
        <f>IF(U37=0,"",IF(INDEX(BASE_PRICES!F37:P37,1,U37)="","",INDEX(BASE_PRICES!F37:P37,1,U37)))</f>
        <v/>
      </c>
      <c r="W37" s="20">
        <f>IF(ORDER!G38=0,0,IF(ISNUMBER(ORDER!H38),0,1))</f>
        <v>0</v>
      </c>
    </row>
    <row r="38" spans="1:23" ht="78" customHeight="1">
      <c r="A38" s="4" t="e" vm="34">
        <v>#VALUE!</v>
      </c>
      <c r="B38" s="1" t="str">
        <f>ORDER!B39</f>
        <v>Prosperity candle</v>
      </c>
      <c r="C38" s="1" t="str">
        <f>ORDER!C39</f>
        <v>Natural beeswax</v>
      </c>
      <c r="D38" s="1">
        <f>ORDER!D39</f>
        <v>0</v>
      </c>
      <c r="E38" s="19">
        <v>45</v>
      </c>
      <c r="F38" s="35" t="s">
        <v>141</v>
      </c>
      <c r="G38" s="32">
        <f xmlns="http://schemas.openxmlformats.org/spreadsheetml/2006/main">ROUND(BASE_PRICES!B38*(1+DETAILS!$B$30)/DETAILS!$B$26,4)</f>
        <v>25.2</v>
      </c>
      <c r="H38" s="33">
        <f>BASE_PRICES!C38</f>
        <v>1</v>
      </c>
      <c r="I38" s="33">
        <f>BASE_PRICES!D38</f>
        <v>1</v>
      </c>
      <c r="J38" s="32">
        <f xmlns="http://schemas.openxmlformats.org/spreadsheetml/2006/main">IF(1&lt;BASE_PRICES!D38,"",IF(BASE_PRICES!F38="","",ROUND(BASE_PRICES!F38*(1+DETAILS!$B$30)/DETAILS!$B$26,4)))</f>
        <v>25.2</v>
      </c>
      <c r="K38" s="32">
        <f xmlns="http://schemas.openxmlformats.org/spreadsheetml/2006/main">IF(5&lt;BASE_PRICES!D38,"",IF(BASE_PRICES!G38="","",ROUND(BASE_PRICES!G38*(1+DETAILS!$B$30)/DETAILS!$B$26,4)))</f>
        <v>21.167999999999999</v>
      </c>
      <c r="L38" s="32">
        <f xmlns="http://schemas.openxmlformats.org/spreadsheetml/2006/main">IF(10&lt;BASE_PRICES!D38,"",IF(BASE_PRICES!H38="","",ROUND(BASE_PRICES!H38*(1+DETAILS!$B$30)/DETAILS!$B$26,4)))</f>
        <v>18.648</v>
      </c>
      <c r="M38" s="32">
        <f xmlns="http://schemas.openxmlformats.org/spreadsheetml/2006/main">IF(20&lt;BASE_PRICES!D38,"",IF(BASE_PRICES!I38="","",ROUND(BASE_PRICES!I38*(1+DETAILS!$B$30)/DETAILS!$B$26,4)))</f>
        <v>18.648</v>
      </c>
      <c r="N38" s="32">
        <f xmlns="http://schemas.openxmlformats.org/spreadsheetml/2006/main">IF(25&lt;BASE_PRICES!D38,"",IF(BASE_PRICES!J38="","",ROUND(BASE_PRICES!J38*(1+DETAILS!$B$30)/DETAILS!$B$26,4)))</f>
        <v>18.648</v>
      </c>
      <c r="O38" s="32">
        <f xmlns="http://schemas.openxmlformats.org/spreadsheetml/2006/main">IF(30&lt;BASE_PRICES!D38,"",IF(BASE_PRICES!K38="","",ROUND(BASE_PRICES!K38*(1+DETAILS!$B$30)/DETAILS!$B$26,4)))</f>
        <v>16.38</v>
      </c>
      <c r="P38" s="32">
        <f xmlns="http://schemas.openxmlformats.org/spreadsheetml/2006/main">IF(50&lt;BASE_PRICES!D38,"",IF(BASE_PRICES!L38="","",ROUND(BASE_PRICES!L38*(1+DETAILS!$B$30)/DETAILS!$B$26,4)))</f>
        <v>14.616</v>
      </c>
      <c r="Q38" s="32">
        <f xmlns="http://schemas.openxmlformats.org/spreadsheetml/2006/main">IF(100&lt;BASE_PRICES!D38,"",IF(BASE_PRICES!M38="","",ROUND(BASE_PRICES!M38*(1+DETAILS!$B$30)/DETAILS!$B$26,4)))</f>
        <v>13.718999999999999</v>
      </c>
      <c r="R38" s="32">
        <f xmlns="http://schemas.openxmlformats.org/spreadsheetml/2006/main">IF(250&lt;BASE_PRICES!D38,"",IF(BASE_PRICES!N38="","",ROUND(BASE_PRICES!N38*(1+DETAILS!$B$30)/DETAILS!$B$26,4)))</f>
        <v>13.718999999999999</v>
      </c>
      <c r="S38" s="32">
        <f xmlns="http://schemas.openxmlformats.org/spreadsheetml/2006/main">IF(500&lt;BASE_PRICES!D38,"",IF(BASE_PRICES!O38="","",ROUND(BASE_PRICES!O38*(1+DETAILS!$B$30)/DETAILS!$B$26,4)))</f>
        <v>13.718999999999999</v>
      </c>
      <c r="T38" s="32">
        <f xmlns="http://schemas.openxmlformats.org/spreadsheetml/2006/main">IF(1000&lt;BASE_PRICES!D38,"",IF(BASE_PRICES!P38="","",ROUND(BASE_PRICES!P38*(1+DETAILS!$B$30)/DETAILS!$B$26,4)))</f>
        <v>13.718999999999999</v>
      </c>
      <c r="U38" s="23">
        <f>IF(ISNUMBER(ORDER!G39),IF(AND(ORDER!G39&gt;=I38,MOD(ORDER!G39,BASE_PRICES!E38)=0),MATCH(ORDER!G39,$J$4:$T$4,1),0),0)</f>
        <v>0</v>
      </c>
      <c r="V38" s="23" t="str">
        <f>IF(U38=0,"",IF(INDEX(BASE_PRICES!F38:P38,1,U38)="","",INDEX(BASE_PRICES!F38:P38,1,U38)))</f>
        <v/>
      </c>
      <c r="W38" s="20">
        <f>IF(ORDER!G39=0,0,IF(ISNUMBER(ORDER!H39),0,1))</f>
        <v>0</v>
      </c>
    </row>
    <row r="39" spans="1:23" ht="78" customHeight="1">
      <c r="A39" s="4" t="e" vm="35">
        <v>#VALUE!</v>
      </c>
      <c r="B39" s="5" t="str">
        <f>ORDER!B40</f>
        <v>Protection candle — purple</v>
      </c>
      <c r="C39" s="5" t="str">
        <f>ORDER!C40</f>
        <v>Purple</v>
      </c>
      <c r="D39" s="5">
        <f>ORDER!D40</f>
        <v>0</v>
      </c>
      <c r="E39" s="18">
        <v>60</v>
      </c>
      <c r="F39" s="35" t="s">
        <v>142</v>
      </c>
      <c r="G39" s="32">
        <f xmlns="http://schemas.openxmlformats.org/spreadsheetml/2006/main">ROUND(BASE_PRICES!B39*(1+DETAILS!$B$30)/DETAILS!$B$26,4)</f>
        <v>36.159999999999997</v>
      </c>
      <c r="H39" s="33">
        <f>BASE_PRICES!C39</f>
        <v>1</v>
      </c>
      <c r="I39" s="33">
        <f>BASE_PRICES!D39</f>
        <v>5</v>
      </c>
      <c r="J39" s="32" t="str">
        <f xmlns="http://schemas.openxmlformats.org/spreadsheetml/2006/main">IF(1&lt;BASE_PRICES!D39,"",IF(BASE_PRICES!F39="","",ROUND(BASE_PRICES!F39*(1+DETAILS!$B$30)/DETAILS!$B$26,4)))</f>
        <v>0</v>
      </c>
      <c r="K39" s="32">
        <f xmlns="http://schemas.openxmlformats.org/spreadsheetml/2006/main">IF(5&lt;BASE_PRICES!D39,"",IF(BASE_PRICES!G39="","",ROUND(BASE_PRICES!G39*(1+DETAILS!$B$30)/DETAILS!$B$26,4)))</f>
        <v>30.374400000000001</v>
      </c>
      <c r="L39" s="32">
        <f xmlns="http://schemas.openxmlformats.org/spreadsheetml/2006/main">IF(10&lt;BASE_PRICES!D39,"",IF(BASE_PRICES!H39="","",ROUND(BASE_PRICES!H39*(1+DETAILS!$B$30)/DETAILS!$B$26,4)))</f>
        <v>27.12</v>
      </c>
      <c r="M39" s="32">
        <f xmlns="http://schemas.openxmlformats.org/spreadsheetml/2006/main">IF(20&lt;BASE_PRICES!D39,"",IF(BASE_PRICES!I39="","",ROUND(BASE_PRICES!I39*(1+DETAILS!$B$30)/DETAILS!$B$26,4)))</f>
        <v>27.12</v>
      </c>
      <c r="N39" s="32">
        <f xmlns="http://schemas.openxmlformats.org/spreadsheetml/2006/main">IF(25&lt;BASE_PRICES!D39,"",IF(BASE_PRICES!J39="","",ROUND(BASE_PRICES!J39*(1+DETAILS!$B$30)/DETAILS!$B$26,4)))</f>
        <v>27.12</v>
      </c>
      <c r="O39" s="32">
        <f xmlns="http://schemas.openxmlformats.org/spreadsheetml/2006/main">IF(30&lt;BASE_PRICES!D39,"",IF(BASE_PRICES!K39="","",ROUND(BASE_PRICES!K39*(1+DETAILS!$B$30)/DETAILS!$B$26,4)))</f>
        <v>27.12</v>
      </c>
      <c r="P39" s="32">
        <f xmlns="http://schemas.openxmlformats.org/spreadsheetml/2006/main">IF(50&lt;BASE_PRICES!D39,"",IF(BASE_PRICES!L39="","",ROUND(BASE_PRICES!L39*(1+DETAILS!$B$30)/DETAILS!$B$26,4)))</f>
        <v>27.12</v>
      </c>
      <c r="Q39" s="32">
        <f xmlns="http://schemas.openxmlformats.org/spreadsheetml/2006/main">IF(100&lt;BASE_PRICES!D39,"",IF(BASE_PRICES!M39="","",ROUND(BASE_PRICES!M39*(1+DETAILS!$B$30)/DETAILS!$B$26,4)))</f>
        <v>24.2272</v>
      </c>
      <c r="R39" s="32">
        <f xmlns="http://schemas.openxmlformats.org/spreadsheetml/2006/main">IF(250&lt;BASE_PRICES!D39,"",IF(BASE_PRICES!N39="","",ROUND(BASE_PRICES!N39*(1+DETAILS!$B$30)/DETAILS!$B$26,4)))</f>
        <v>24.2272</v>
      </c>
      <c r="S39" s="32">
        <f xmlns="http://schemas.openxmlformats.org/spreadsheetml/2006/main">IF(500&lt;BASE_PRICES!D39,"",IF(BASE_PRICES!O39="","",ROUND(BASE_PRICES!O39*(1+DETAILS!$B$30)/DETAILS!$B$26,4)))</f>
        <v>24.2272</v>
      </c>
      <c r="T39" s="32">
        <f xmlns="http://schemas.openxmlformats.org/spreadsheetml/2006/main">IF(1000&lt;BASE_PRICES!D39,"",IF(BASE_PRICES!P39="","",ROUND(BASE_PRICES!P39*(1+DETAILS!$B$30)/DETAILS!$B$26,4)))</f>
        <v>24.2272</v>
      </c>
      <c r="U39" s="23">
        <f>IF(ISNUMBER(ORDER!G40),IF(AND(ORDER!G40&gt;=I39,MOD(ORDER!G40,BASE_PRICES!E39)=0),MATCH(ORDER!G40,$J$4:$T$4,1),0),0)</f>
        <v>0</v>
      </c>
      <c r="V39" s="23" t="str">
        <f>IF(U39=0,"",IF(INDEX(BASE_PRICES!F39:P39,1,U39)="","",INDEX(BASE_PRICES!F39:P39,1,U39)))</f>
        <v/>
      </c>
      <c r="W39" s="20">
        <f>IF(ORDER!G40=0,0,IF(ISNUMBER(ORDER!H40),0,1))</f>
        <v>0</v>
      </c>
    </row>
    <row r="40" spans="1:23" ht="78" customHeight="1">
      <c r="A40" s="4" t="e" vm="36">
        <v>#VALUE!</v>
      </c>
      <c r="B40" s="1" t="str">
        <f>ORDER!B41</f>
        <v>Candle — home protection</v>
      </c>
      <c r="C40" s="1" t="str">
        <f>ORDER!C41</f>
        <v>Blue</v>
      </c>
      <c r="D40" s="1">
        <f>ORDER!D41</f>
        <v>0</v>
      </c>
      <c r="E40" s="19">
        <v>60</v>
      </c>
      <c r="F40" s="35" t="s">
        <v>143</v>
      </c>
      <c r="G40" s="32">
        <f xmlns="http://schemas.openxmlformats.org/spreadsheetml/2006/main">ROUND(BASE_PRICES!B40*(1+DETAILS!$B$30)/DETAILS!$B$26,4)</f>
        <v>38.450000000000003</v>
      </c>
      <c r="H40" s="33">
        <f>BASE_PRICES!C40</f>
        <v>1</v>
      </c>
      <c r="I40" s="33">
        <f>BASE_PRICES!D40</f>
        <v>5</v>
      </c>
      <c r="J40" s="32" t="str">
        <f xmlns="http://schemas.openxmlformats.org/spreadsheetml/2006/main">IF(1&lt;BASE_PRICES!D40,"",IF(BASE_PRICES!F40="","",ROUND(BASE_PRICES!F40*(1+DETAILS!$B$30)/DETAILS!$B$26,4)))</f>
        <v>0</v>
      </c>
      <c r="K40" s="32">
        <f xmlns="http://schemas.openxmlformats.org/spreadsheetml/2006/main">IF(5&lt;BASE_PRICES!D40,"",IF(BASE_PRICES!G40="","",ROUND(BASE_PRICES!G40*(1+DETAILS!$B$30)/DETAILS!$B$26,4)))</f>
        <v>32.298000000000002</v>
      </c>
      <c r="L40" s="32">
        <f xmlns="http://schemas.openxmlformats.org/spreadsheetml/2006/main">IF(10&lt;BASE_PRICES!D40,"",IF(BASE_PRICES!H40="","",ROUND(BASE_PRICES!H40*(1+DETAILS!$B$30)/DETAILS!$B$26,4)))</f>
        <v>28.837499999999999</v>
      </c>
      <c r="M40" s="32">
        <f xmlns="http://schemas.openxmlformats.org/spreadsheetml/2006/main">IF(20&lt;BASE_PRICES!D40,"",IF(BASE_PRICES!I40="","",ROUND(BASE_PRICES!I40*(1+DETAILS!$B$30)/DETAILS!$B$26,4)))</f>
        <v>28.837499999999999</v>
      </c>
      <c r="N40" s="32">
        <f xmlns="http://schemas.openxmlformats.org/spreadsheetml/2006/main">IF(25&lt;BASE_PRICES!D40,"",IF(BASE_PRICES!J40="","",ROUND(BASE_PRICES!J40*(1+DETAILS!$B$30)/DETAILS!$B$26,4)))</f>
        <v>28.837499999999999</v>
      </c>
      <c r="O40" s="32">
        <f xmlns="http://schemas.openxmlformats.org/spreadsheetml/2006/main">IF(30&lt;BASE_PRICES!D40,"",IF(BASE_PRICES!K40="","",ROUND(BASE_PRICES!K40*(1+DETAILS!$B$30)/DETAILS!$B$26,4)))</f>
        <v>28.837499999999999</v>
      </c>
      <c r="P40" s="32">
        <f xmlns="http://schemas.openxmlformats.org/spreadsheetml/2006/main">IF(50&lt;BASE_PRICES!D40,"",IF(BASE_PRICES!L40="","",ROUND(BASE_PRICES!L40*(1+DETAILS!$B$30)/DETAILS!$B$26,4)))</f>
        <v>28.837499999999999</v>
      </c>
      <c r="Q40" s="32">
        <f xmlns="http://schemas.openxmlformats.org/spreadsheetml/2006/main">IF(100&lt;BASE_PRICES!D40,"",IF(BASE_PRICES!M40="","",ROUND(BASE_PRICES!M40*(1+DETAILS!$B$30)/DETAILS!$B$26,4)))</f>
        <v>25.761500000000002</v>
      </c>
      <c r="R40" s="32">
        <f xmlns="http://schemas.openxmlformats.org/spreadsheetml/2006/main">IF(250&lt;BASE_PRICES!D40,"",IF(BASE_PRICES!N40="","",ROUND(BASE_PRICES!N40*(1+DETAILS!$B$30)/DETAILS!$B$26,4)))</f>
        <v>25.761500000000002</v>
      </c>
      <c r="S40" s="32">
        <f xmlns="http://schemas.openxmlformats.org/spreadsheetml/2006/main">IF(500&lt;BASE_PRICES!D40,"",IF(BASE_PRICES!O40="","",ROUND(BASE_PRICES!O40*(1+DETAILS!$B$30)/DETAILS!$B$26,4)))</f>
        <v>25.761500000000002</v>
      </c>
      <c r="T40" s="32">
        <f xmlns="http://schemas.openxmlformats.org/spreadsheetml/2006/main">IF(1000&lt;BASE_PRICES!D40,"",IF(BASE_PRICES!P40="","",ROUND(BASE_PRICES!P40*(1+DETAILS!$B$30)/DETAILS!$B$26,4)))</f>
        <v>25.761500000000002</v>
      </c>
      <c r="U40" s="23">
        <f>IF(ISNUMBER(ORDER!G41),IF(AND(ORDER!G41&gt;=I40,MOD(ORDER!G41,BASE_PRICES!E40)=0),MATCH(ORDER!G41,$J$4:$T$4,1),0),0)</f>
        <v>0</v>
      </c>
      <c r="V40" s="23" t="str">
        <f>IF(U40=0,"",IF(INDEX(BASE_PRICES!F40:P40,1,U40)="","",INDEX(BASE_PRICES!F40:P40,1,U40)))</f>
        <v/>
      </c>
      <c r="W40" s="20">
        <f>IF(ORDER!G41=0,0,IF(ISNUMBER(ORDER!H41),0,1))</f>
        <v>0</v>
      </c>
    </row>
    <row r="41" spans="1:23" ht="78" customHeight="1">
      <c r="A41" s="4" t="e" vm="37">
        <v>#VALUE!</v>
      </c>
      <c r="B41" s="5" t="str">
        <f>ORDER!B42</f>
        <v>Love ritual candle</v>
      </c>
      <c r="C41" s="5" t="str">
        <f>ORDER!C42</f>
        <v>Pink</v>
      </c>
      <c r="D41" s="5">
        <f>ORDER!D42</f>
        <v>0</v>
      </c>
      <c r="E41" s="18">
        <v>60</v>
      </c>
      <c r="F41" s="35" t="s">
        <v>144</v>
      </c>
      <c r="G41" s="32">
        <f xmlns="http://schemas.openxmlformats.org/spreadsheetml/2006/main">ROUND(BASE_PRICES!B41*(1+DETAILS!$B$30)/DETAILS!$B$26,4)</f>
        <v>39.99</v>
      </c>
      <c r="H41" s="33">
        <f>BASE_PRICES!C41</f>
        <v>1</v>
      </c>
      <c r="I41" s="33">
        <f>BASE_PRICES!D41</f>
        <v>5</v>
      </c>
      <c r="J41" s="32" t="str">
        <f xmlns="http://schemas.openxmlformats.org/spreadsheetml/2006/main">IF(1&lt;BASE_PRICES!D41,"",IF(BASE_PRICES!F41="","",ROUND(BASE_PRICES!F41*(1+DETAILS!$B$30)/DETAILS!$B$26,4)))</f>
        <v>0</v>
      </c>
      <c r="K41" s="32">
        <f xmlns="http://schemas.openxmlformats.org/spreadsheetml/2006/main">IF(5&lt;BASE_PRICES!D41,"",IF(BASE_PRICES!G41="","",ROUND(BASE_PRICES!G41*(1+DETAILS!$B$30)/DETAILS!$B$26,4)))</f>
        <v>33.5916</v>
      </c>
      <c r="L41" s="32">
        <f xmlns="http://schemas.openxmlformats.org/spreadsheetml/2006/main">IF(10&lt;BASE_PRICES!D41,"",IF(BASE_PRICES!H41="","",ROUND(BASE_PRICES!H41*(1+DETAILS!$B$30)/DETAILS!$B$26,4)))</f>
        <v>29.9925</v>
      </c>
      <c r="M41" s="32">
        <f xmlns="http://schemas.openxmlformats.org/spreadsheetml/2006/main">IF(20&lt;BASE_PRICES!D41,"",IF(BASE_PRICES!I41="","",ROUND(BASE_PRICES!I41*(1+DETAILS!$B$30)/DETAILS!$B$26,4)))</f>
        <v>29.9925</v>
      </c>
      <c r="N41" s="32">
        <f xmlns="http://schemas.openxmlformats.org/spreadsheetml/2006/main">IF(25&lt;BASE_PRICES!D41,"",IF(BASE_PRICES!J41="","",ROUND(BASE_PRICES!J41*(1+DETAILS!$B$30)/DETAILS!$B$26,4)))</f>
        <v>29.9925</v>
      </c>
      <c r="O41" s="32">
        <f xmlns="http://schemas.openxmlformats.org/spreadsheetml/2006/main">IF(30&lt;BASE_PRICES!D41,"",IF(BASE_PRICES!K41="","",ROUND(BASE_PRICES!K41*(1+DETAILS!$B$30)/DETAILS!$B$26,4)))</f>
        <v>29.9925</v>
      </c>
      <c r="P41" s="32">
        <f xmlns="http://schemas.openxmlformats.org/spreadsheetml/2006/main">IF(50&lt;BASE_PRICES!D41,"",IF(BASE_PRICES!L41="","",ROUND(BASE_PRICES!L41*(1+DETAILS!$B$30)/DETAILS!$B$26,4)))</f>
        <v>29.9925</v>
      </c>
      <c r="Q41" s="32">
        <f xmlns="http://schemas.openxmlformats.org/spreadsheetml/2006/main">IF(100&lt;BASE_PRICES!D41,"",IF(BASE_PRICES!M41="","",ROUND(BASE_PRICES!M41*(1+DETAILS!$B$30)/DETAILS!$B$26,4)))</f>
        <v>26.793299999999999</v>
      </c>
      <c r="R41" s="32">
        <f xmlns="http://schemas.openxmlformats.org/spreadsheetml/2006/main">IF(250&lt;BASE_PRICES!D41,"",IF(BASE_PRICES!N41="","",ROUND(BASE_PRICES!N41*(1+DETAILS!$B$30)/DETAILS!$B$26,4)))</f>
        <v>26.793299999999999</v>
      </c>
      <c r="S41" s="32">
        <f xmlns="http://schemas.openxmlformats.org/spreadsheetml/2006/main">IF(500&lt;BASE_PRICES!D41,"",IF(BASE_PRICES!O41="","",ROUND(BASE_PRICES!O41*(1+DETAILS!$B$30)/DETAILS!$B$26,4)))</f>
        <v>26.793299999999999</v>
      </c>
      <c r="T41" s="32">
        <f xmlns="http://schemas.openxmlformats.org/spreadsheetml/2006/main">IF(1000&lt;BASE_PRICES!D41,"",IF(BASE_PRICES!P41="","",ROUND(BASE_PRICES!P41*(1+DETAILS!$B$30)/DETAILS!$B$26,4)))</f>
        <v>26.793299999999999</v>
      </c>
      <c r="U41" s="23">
        <f>IF(ISNUMBER(ORDER!G42),IF(AND(ORDER!G42&gt;=I41,MOD(ORDER!G42,BASE_PRICES!E41)=0),MATCH(ORDER!G42,$J$4:$T$4,1),0),0)</f>
        <v>0</v>
      </c>
      <c r="V41" s="23" t="str">
        <f>IF(U41=0,"",IF(INDEX(BASE_PRICES!F41:P41,1,U41)="","",INDEX(BASE_PRICES!F41:P41,1,U41)))</f>
        <v/>
      </c>
      <c r="W41" s="20">
        <f>IF(ORDER!G42=0,0,IF(ISNUMBER(ORDER!H42),0,1))</f>
        <v>0</v>
      </c>
    </row>
    <row r="42" spans="1:23" ht="78" customHeight="1">
      <c r="A42" s="4" t="e" vm="38">
        <v>#VALUE!</v>
      </c>
      <c r="B42" s="1" t="str">
        <f>ORDER!B43</f>
        <v>Candle — meditation and aura cleansing</v>
      </c>
      <c r="C42" s="1" t="str">
        <f>ORDER!C43</f>
        <v>White</v>
      </c>
      <c r="D42" s="1">
        <f>ORDER!D43</f>
        <v>0</v>
      </c>
      <c r="E42" s="19">
        <v>60</v>
      </c>
      <c r="F42" s="35" t="s">
        <v>145</v>
      </c>
      <c r="G42" s="32">
        <f xmlns="http://schemas.openxmlformats.org/spreadsheetml/2006/main">ROUND(BASE_PRICES!B42*(1+DETAILS!$B$30)/DETAILS!$B$26,4)</f>
        <v>35.99</v>
      </c>
      <c r="H42" s="33">
        <f>BASE_PRICES!C42</f>
        <v>1</v>
      </c>
      <c r="I42" s="33">
        <f>BASE_PRICES!D42</f>
        <v>5</v>
      </c>
      <c r="J42" s="32" t="str">
        <f xmlns="http://schemas.openxmlformats.org/spreadsheetml/2006/main">IF(1&lt;BASE_PRICES!D42,"",IF(BASE_PRICES!F42="","",ROUND(BASE_PRICES!F42*(1+DETAILS!$B$30)/DETAILS!$B$26,4)))</f>
        <v>0</v>
      </c>
      <c r="K42" s="32">
        <f xmlns="http://schemas.openxmlformats.org/spreadsheetml/2006/main">IF(5&lt;BASE_PRICES!D42,"",IF(BASE_PRICES!G42="","",ROUND(BASE_PRICES!G42*(1+DETAILS!$B$30)/DETAILS!$B$26,4)))</f>
        <v>30.2316</v>
      </c>
      <c r="L42" s="32">
        <f xmlns="http://schemas.openxmlformats.org/spreadsheetml/2006/main">IF(10&lt;BASE_PRICES!D42,"",IF(BASE_PRICES!H42="","",ROUND(BASE_PRICES!H42*(1+DETAILS!$B$30)/DETAILS!$B$26,4)))</f>
        <v>26.9925</v>
      </c>
      <c r="M42" s="32">
        <f xmlns="http://schemas.openxmlformats.org/spreadsheetml/2006/main">IF(20&lt;BASE_PRICES!D42,"",IF(BASE_PRICES!I42="","",ROUND(BASE_PRICES!I42*(1+DETAILS!$B$30)/DETAILS!$B$26,4)))</f>
        <v>26.9925</v>
      </c>
      <c r="N42" s="32">
        <f xmlns="http://schemas.openxmlformats.org/spreadsheetml/2006/main">IF(25&lt;BASE_PRICES!D42,"",IF(BASE_PRICES!J42="","",ROUND(BASE_PRICES!J42*(1+DETAILS!$B$30)/DETAILS!$B$26,4)))</f>
        <v>26.9925</v>
      </c>
      <c r="O42" s="32">
        <f xmlns="http://schemas.openxmlformats.org/spreadsheetml/2006/main">IF(30&lt;BASE_PRICES!D42,"",IF(BASE_PRICES!K42="","",ROUND(BASE_PRICES!K42*(1+DETAILS!$B$30)/DETAILS!$B$26,4)))</f>
        <v>26.9925</v>
      </c>
      <c r="P42" s="32">
        <f xmlns="http://schemas.openxmlformats.org/spreadsheetml/2006/main">IF(50&lt;BASE_PRICES!D42,"",IF(BASE_PRICES!L42="","",ROUND(BASE_PRICES!L42*(1+DETAILS!$B$30)/DETAILS!$B$26,4)))</f>
        <v>26.9925</v>
      </c>
      <c r="Q42" s="32">
        <f xmlns="http://schemas.openxmlformats.org/spreadsheetml/2006/main">IF(100&lt;BASE_PRICES!D42,"",IF(BASE_PRICES!M42="","",ROUND(BASE_PRICES!M42*(1+DETAILS!$B$30)/DETAILS!$B$26,4)))</f>
        <v>24.113299999999999</v>
      </c>
      <c r="R42" s="32">
        <f xmlns="http://schemas.openxmlformats.org/spreadsheetml/2006/main">IF(250&lt;BASE_PRICES!D42,"",IF(BASE_PRICES!N42="","",ROUND(BASE_PRICES!N42*(1+DETAILS!$B$30)/DETAILS!$B$26,4)))</f>
        <v>24.113299999999999</v>
      </c>
      <c r="S42" s="32">
        <f xmlns="http://schemas.openxmlformats.org/spreadsheetml/2006/main">IF(500&lt;BASE_PRICES!D42,"",IF(BASE_PRICES!O42="","",ROUND(BASE_PRICES!O42*(1+DETAILS!$B$30)/DETAILS!$B$26,4)))</f>
        <v>24.113299999999999</v>
      </c>
      <c r="T42" s="32">
        <f xmlns="http://schemas.openxmlformats.org/spreadsheetml/2006/main">IF(1000&lt;BASE_PRICES!D42,"",IF(BASE_PRICES!P42="","",ROUND(BASE_PRICES!P42*(1+DETAILS!$B$30)/DETAILS!$B$26,4)))</f>
        <v>24.113299999999999</v>
      </c>
      <c r="U42" s="23">
        <f>IF(ISNUMBER(ORDER!G43),IF(AND(ORDER!G43&gt;=I42,MOD(ORDER!G43,BASE_PRICES!E42)=0),MATCH(ORDER!G43,$J$4:$T$4,1),0),0)</f>
        <v>0</v>
      </c>
      <c r="V42" s="23" t="str">
        <f>IF(U42=0,"",IF(INDEX(BASE_PRICES!F42:P42,1,U42)="","",INDEX(BASE_PRICES!F42:P42,1,U42)))</f>
        <v/>
      </c>
      <c r="W42" s="20">
        <f>IF(ORDER!G43=0,0,IF(ISNUMBER(ORDER!H43),0,1))</f>
        <v>0</v>
      </c>
    </row>
    <row r="43" spans="1:23" ht="78" customHeight="1">
      <c r="A43" s="4" t="e" vm="39">
        <v>#VALUE!</v>
      </c>
      <c r="B43" s="5" t="str">
        <f>ORDER!B44</f>
        <v>Aura cleansing candle</v>
      </c>
      <c r="C43" s="5" t="str">
        <f>ORDER!C44</f>
        <v>Black</v>
      </c>
      <c r="D43" s="5">
        <f>ORDER!D44</f>
        <v>0</v>
      </c>
      <c r="E43" s="18">
        <v>60</v>
      </c>
      <c r="F43" s="35" t="s">
        <v>146</v>
      </c>
      <c r="G43" s="32">
        <f xmlns="http://schemas.openxmlformats.org/spreadsheetml/2006/main">ROUND(BASE_PRICES!B43*(1+DETAILS!$B$30)/DETAILS!$B$26,4)</f>
        <v>39.99</v>
      </c>
      <c r="H43" s="33">
        <f>BASE_PRICES!C43</f>
        <v>1</v>
      </c>
      <c r="I43" s="33">
        <f>BASE_PRICES!D43</f>
        <v>5</v>
      </c>
      <c r="J43" s="32" t="str">
        <f xmlns="http://schemas.openxmlformats.org/spreadsheetml/2006/main">IF(1&lt;BASE_PRICES!D43,"",IF(BASE_PRICES!F43="","",ROUND(BASE_PRICES!F43*(1+DETAILS!$B$30)/DETAILS!$B$26,4)))</f>
        <v>0</v>
      </c>
      <c r="K43" s="32">
        <f xmlns="http://schemas.openxmlformats.org/spreadsheetml/2006/main">IF(5&lt;BASE_PRICES!D43,"",IF(BASE_PRICES!G43="","",ROUND(BASE_PRICES!G43*(1+DETAILS!$B$30)/DETAILS!$B$26,4)))</f>
        <v>33.5916</v>
      </c>
      <c r="L43" s="32">
        <f xmlns="http://schemas.openxmlformats.org/spreadsheetml/2006/main">IF(10&lt;BASE_PRICES!D43,"",IF(BASE_PRICES!H43="","",ROUND(BASE_PRICES!H43*(1+DETAILS!$B$30)/DETAILS!$B$26,4)))</f>
        <v>29.9925</v>
      </c>
      <c r="M43" s="32">
        <f xmlns="http://schemas.openxmlformats.org/spreadsheetml/2006/main">IF(20&lt;BASE_PRICES!D43,"",IF(BASE_PRICES!I43="","",ROUND(BASE_PRICES!I43*(1+DETAILS!$B$30)/DETAILS!$B$26,4)))</f>
        <v>29.9925</v>
      </c>
      <c r="N43" s="32">
        <f xmlns="http://schemas.openxmlformats.org/spreadsheetml/2006/main">IF(25&lt;BASE_PRICES!D43,"",IF(BASE_PRICES!J43="","",ROUND(BASE_PRICES!J43*(1+DETAILS!$B$30)/DETAILS!$B$26,4)))</f>
        <v>29.9925</v>
      </c>
      <c r="O43" s="32">
        <f xmlns="http://schemas.openxmlformats.org/spreadsheetml/2006/main">IF(30&lt;BASE_PRICES!D43,"",IF(BASE_PRICES!K43="","",ROUND(BASE_PRICES!K43*(1+DETAILS!$B$30)/DETAILS!$B$26,4)))</f>
        <v>29.9925</v>
      </c>
      <c r="P43" s="32">
        <f xmlns="http://schemas.openxmlformats.org/spreadsheetml/2006/main">IF(50&lt;BASE_PRICES!D43,"",IF(BASE_PRICES!L43="","",ROUND(BASE_PRICES!L43*(1+DETAILS!$B$30)/DETAILS!$B$26,4)))</f>
        <v>29.9925</v>
      </c>
      <c r="Q43" s="32">
        <f xmlns="http://schemas.openxmlformats.org/spreadsheetml/2006/main">IF(100&lt;BASE_PRICES!D43,"",IF(BASE_PRICES!M43="","",ROUND(BASE_PRICES!M43*(1+DETAILS!$B$30)/DETAILS!$B$26,4)))</f>
        <v>26.793299999999999</v>
      </c>
      <c r="R43" s="32">
        <f xmlns="http://schemas.openxmlformats.org/spreadsheetml/2006/main">IF(250&lt;BASE_PRICES!D43,"",IF(BASE_PRICES!N43="","",ROUND(BASE_PRICES!N43*(1+DETAILS!$B$30)/DETAILS!$B$26,4)))</f>
        <v>26.793299999999999</v>
      </c>
      <c r="S43" s="32">
        <f xmlns="http://schemas.openxmlformats.org/spreadsheetml/2006/main">IF(500&lt;BASE_PRICES!D43,"",IF(BASE_PRICES!O43="","",ROUND(BASE_PRICES!O43*(1+DETAILS!$B$30)/DETAILS!$B$26,4)))</f>
        <v>26.793299999999999</v>
      </c>
      <c r="T43" s="32">
        <f xmlns="http://schemas.openxmlformats.org/spreadsheetml/2006/main">IF(1000&lt;BASE_PRICES!D43,"",IF(BASE_PRICES!P43="","",ROUND(BASE_PRICES!P43*(1+DETAILS!$B$30)/DETAILS!$B$26,4)))</f>
        <v>26.793299999999999</v>
      </c>
      <c r="U43" s="23">
        <f>IF(ISNUMBER(ORDER!G44),IF(AND(ORDER!G44&gt;=I43,MOD(ORDER!G44,BASE_PRICES!E43)=0),MATCH(ORDER!G44,$J$4:$T$4,1),0),0)</f>
        <v>0</v>
      </c>
      <c r="V43" s="23" t="str">
        <f>IF(U43=0,"",IF(INDEX(BASE_PRICES!F43:P43,1,U43)="","",INDEX(BASE_PRICES!F43:P43,1,U43)))</f>
        <v/>
      </c>
      <c r="W43" s="20">
        <f>IF(ORDER!G44=0,0,IF(ISNUMBER(ORDER!H44),0,1))</f>
        <v>0</v>
      </c>
    </row>
    <row r="44" spans="1:23" ht="78" customHeight="1">
      <c r="A44" s="8" t="e" vm="40">
        <v>#VALUE!</v>
      </c>
      <c r="B44" s="1" t="str">
        <f>ORDER!B45</f>
        <v>Home cleansing candle</v>
      </c>
      <c r="C44" s="1" t="str">
        <f>ORDER!C45</f>
        <v/>
      </c>
      <c r="D44" s="1">
        <f>ORDER!D45</f>
        <v>0</v>
      </c>
      <c r="E44" s="19">
        <v>60</v>
      </c>
      <c r="F44" s="35" t="s">
        <v>147</v>
      </c>
      <c r="G44" s="32">
        <f xmlns="http://schemas.openxmlformats.org/spreadsheetml/2006/main">ROUND(BASE_PRICES!B44*(1+DETAILS!$B$30)/DETAILS!$B$26,4)</f>
        <v>38.340000000000003</v>
      </c>
      <c r="H44" s="33">
        <f>BASE_PRICES!C44</f>
        <v>1</v>
      </c>
      <c r="I44" s="33">
        <f>BASE_PRICES!D44</f>
        <v>5</v>
      </c>
      <c r="J44" s="32" t="str">
        <f xmlns="http://schemas.openxmlformats.org/spreadsheetml/2006/main">IF(1&lt;BASE_PRICES!D44,"",IF(BASE_PRICES!F44="","",ROUND(BASE_PRICES!F44*(1+DETAILS!$B$30)/DETAILS!$B$26,4)))</f>
        <v>0</v>
      </c>
      <c r="K44" s="32">
        <f xmlns="http://schemas.openxmlformats.org/spreadsheetml/2006/main">IF(5&lt;BASE_PRICES!D44,"",IF(BASE_PRICES!G44="","",ROUND(BASE_PRICES!G44*(1+DETAILS!$B$30)/DETAILS!$B$26,4)))</f>
        <v>32.205599999999997</v>
      </c>
      <c r="L44" s="32">
        <f xmlns="http://schemas.openxmlformats.org/spreadsheetml/2006/main">IF(10&lt;BASE_PRICES!D44,"",IF(BASE_PRICES!H44="","",ROUND(BASE_PRICES!H44*(1+DETAILS!$B$30)/DETAILS!$B$26,4)))</f>
        <v>28.754999999999999</v>
      </c>
      <c r="M44" s="32">
        <f xmlns="http://schemas.openxmlformats.org/spreadsheetml/2006/main">IF(20&lt;BASE_PRICES!D44,"",IF(BASE_PRICES!I44="","",ROUND(BASE_PRICES!I44*(1+DETAILS!$B$30)/DETAILS!$B$26,4)))</f>
        <v>28.754999999999999</v>
      </c>
      <c r="N44" s="32">
        <f xmlns="http://schemas.openxmlformats.org/spreadsheetml/2006/main">IF(25&lt;BASE_PRICES!D44,"",IF(BASE_PRICES!J44="","",ROUND(BASE_PRICES!J44*(1+DETAILS!$B$30)/DETAILS!$B$26,4)))</f>
        <v>28.754999999999999</v>
      </c>
      <c r="O44" s="32">
        <f xmlns="http://schemas.openxmlformats.org/spreadsheetml/2006/main">IF(30&lt;BASE_PRICES!D44,"",IF(BASE_PRICES!K44="","",ROUND(BASE_PRICES!K44*(1+DETAILS!$B$30)/DETAILS!$B$26,4)))</f>
        <v>28.754999999999999</v>
      </c>
      <c r="P44" s="32">
        <f xmlns="http://schemas.openxmlformats.org/spreadsheetml/2006/main">IF(50&lt;BASE_PRICES!D44,"",IF(BASE_PRICES!L44="","",ROUND(BASE_PRICES!L44*(1+DETAILS!$B$30)/DETAILS!$B$26,4)))</f>
        <v>28.754999999999999</v>
      </c>
      <c r="Q44" s="32">
        <f xmlns="http://schemas.openxmlformats.org/spreadsheetml/2006/main">IF(100&lt;BASE_PRICES!D44,"",IF(BASE_PRICES!M44="","",ROUND(BASE_PRICES!M44*(1+DETAILS!$B$30)/DETAILS!$B$26,4)))</f>
        <v>25.687799999999999</v>
      </c>
      <c r="R44" s="32">
        <f xmlns="http://schemas.openxmlformats.org/spreadsheetml/2006/main">IF(250&lt;BASE_PRICES!D44,"",IF(BASE_PRICES!N44="","",ROUND(BASE_PRICES!N44*(1+DETAILS!$B$30)/DETAILS!$B$26,4)))</f>
        <v>25.687799999999999</v>
      </c>
      <c r="S44" s="32">
        <f xmlns="http://schemas.openxmlformats.org/spreadsheetml/2006/main">IF(500&lt;BASE_PRICES!D44,"",IF(BASE_PRICES!O44="","",ROUND(BASE_PRICES!O44*(1+DETAILS!$B$30)/DETAILS!$B$26,4)))</f>
        <v>25.687799999999999</v>
      </c>
      <c r="T44" s="32">
        <f xmlns="http://schemas.openxmlformats.org/spreadsheetml/2006/main">IF(1000&lt;BASE_PRICES!D44,"",IF(BASE_PRICES!P44="","",ROUND(BASE_PRICES!P44*(1+DETAILS!$B$30)/DETAILS!$B$26,4)))</f>
        <v>25.687799999999999</v>
      </c>
      <c r="U44" s="23">
        <f>IF(ISNUMBER(ORDER!G45),IF(AND(ORDER!G45&gt;=I44,MOD(ORDER!G45,BASE_PRICES!E44)=0),MATCH(ORDER!G45,$J$4:$T$4,1),0),0)</f>
        <v>0</v>
      </c>
      <c r="V44" s="23" t="str">
        <f>IF(U44=0,"",IF(INDEX(BASE_PRICES!F44:P44,1,U44)="","",INDEX(BASE_PRICES!F44:P44,1,U44)))</f>
        <v/>
      </c>
      <c r="W44" s="20">
        <f>IF(ORDER!G45=0,0,IF(ISNUMBER(ORDER!H45),0,1))</f>
        <v>0</v>
      </c>
    </row>
    <row r="45" spans="1:23" ht="78" customHeight="1">
      <c r="A45" s="4" t="e" vm="41">
        <v>#VALUE!</v>
      </c>
      <c r="B45" s="5" t="str">
        <f>ORDER!B46</f>
        <v>Candle — Primal Energy</v>
      </c>
      <c r="C45" s="5" t="str">
        <f>ORDER!C46</f>
        <v>Red</v>
      </c>
      <c r="D45" s="5">
        <f>ORDER!D46</f>
        <v>0</v>
      </c>
      <c r="E45" s="18">
        <v>60</v>
      </c>
      <c r="F45" s="35" t="s">
        <v>148</v>
      </c>
      <c r="G45" s="32">
        <f xmlns="http://schemas.openxmlformats.org/spreadsheetml/2006/main">ROUND(BASE_PRICES!B45*(1+DETAILS!$B$30)/DETAILS!$B$26,4)</f>
        <v>36.450000000000003</v>
      </c>
      <c r="H45" s="33">
        <f>BASE_PRICES!C45</f>
        <v>1</v>
      </c>
      <c r="I45" s="33">
        <f>BASE_PRICES!D45</f>
        <v>5</v>
      </c>
      <c r="J45" s="32" t="str">
        <f xmlns="http://schemas.openxmlformats.org/spreadsheetml/2006/main">IF(1&lt;BASE_PRICES!D45,"",IF(BASE_PRICES!F45="","",ROUND(BASE_PRICES!F45*(1+DETAILS!$B$30)/DETAILS!$B$26,4)))</f>
        <v>0</v>
      </c>
      <c r="K45" s="32">
        <f xmlns="http://schemas.openxmlformats.org/spreadsheetml/2006/main">IF(5&lt;BASE_PRICES!D45,"",IF(BASE_PRICES!G45="","",ROUND(BASE_PRICES!G45*(1+DETAILS!$B$30)/DETAILS!$B$26,4)))</f>
        <v>30.617999999999999</v>
      </c>
      <c r="L45" s="32">
        <f xmlns="http://schemas.openxmlformats.org/spreadsheetml/2006/main">IF(10&lt;BASE_PRICES!D45,"",IF(BASE_PRICES!H45="","",ROUND(BASE_PRICES!H45*(1+DETAILS!$B$30)/DETAILS!$B$26,4)))</f>
        <v>27.337499999999999</v>
      </c>
      <c r="M45" s="32">
        <f xmlns="http://schemas.openxmlformats.org/spreadsheetml/2006/main">IF(20&lt;BASE_PRICES!D45,"",IF(BASE_PRICES!I45="","",ROUND(BASE_PRICES!I45*(1+DETAILS!$B$30)/DETAILS!$B$26,4)))</f>
        <v>27.337499999999999</v>
      </c>
      <c r="N45" s="32">
        <f xmlns="http://schemas.openxmlformats.org/spreadsheetml/2006/main">IF(25&lt;BASE_PRICES!D45,"",IF(BASE_PRICES!J45="","",ROUND(BASE_PRICES!J45*(1+DETAILS!$B$30)/DETAILS!$B$26,4)))</f>
        <v>27.337499999999999</v>
      </c>
      <c r="O45" s="32">
        <f xmlns="http://schemas.openxmlformats.org/spreadsheetml/2006/main">IF(30&lt;BASE_PRICES!D45,"",IF(BASE_PRICES!K45="","",ROUND(BASE_PRICES!K45*(1+DETAILS!$B$30)/DETAILS!$B$26,4)))</f>
        <v>27.337499999999999</v>
      </c>
      <c r="P45" s="32">
        <f xmlns="http://schemas.openxmlformats.org/spreadsheetml/2006/main">IF(50&lt;BASE_PRICES!D45,"",IF(BASE_PRICES!L45="","",ROUND(BASE_PRICES!L45*(1+DETAILS!$B$30)/DETAILS!$B$26,4)))</f>
        <v>27.337499999999999</v>
      </c>
      <c r="Q45" s="32">
        <f xmlns="http://schemas.openxmlformats.org/spreadsheetml/2006/main">IF(100&lt;BASE_PRICES!D45,"",IF(BASE_PRICES!M45="","",ROUND(BASE_PRICES!M45*(1+DETAILS!$B$30)/DETAILS!$B$26,4)))</f>
        <v>24.421500000000002</v>
      </c>
      <c r="R45" s="32">
        <f xmlns="http://schemas.openxmlformats.org/spreadsheetml/2006/main">IF(250&lt;BASE_PRICES!D45,"",IF(BASE_PRICES!N45="","",ROUND(BASE_PRICES!N45*(1+DETAILS!$B$30)/DETAILS!$B$26,4)))</f>
        <v>24.421500000000002</v>
      </c>
      <c r="S45" s="32">
        <f xmlns="http://schemas.openxmlformats.org/spreadsheetml/2006/main">IF(500&lt;BASE_PRICES!D45,"",IF(BASE_PRICES!O45="","",ROUND(BASE_PRICES!O45*(1+DETAILS!$B$30)/DETAILS!$B$26,4)))</f>
        <v>24.421500000000002</v>
      </c>
      <c r="T45" s="32">
        <f xmlns="http://schemas.openxmlformats.org/spreadsheetml/2006/main">IF(1000&lt;BASE_PRICES!D45,"",IF(BASE_PRICES!P45="","",ROUND(BASE_PRICES!P45*(1+DETAILS!$B$30)/DETAILS!$B$26,4)))</f>
        <v>24.421500000000002</v>
      </c>
      <c r="U45" s="23">
        <f>IF(ISNUMBER(ORDER!G46),IF(AND(ORDER!G46&gt;=I45,MOD(ORDER!G46,BASE_PRICES!E45)=0),MATCH(ORDER!G46,$J$4:$T$4,1),0),0)</f>
        <v>0</v>
      </c>
      <c r="V45" s="23" t="str">
        <f>IF(U45=0,"",IF(INDEX(BASE_PRICES!F45:P45,1,U45)="","",INDEX(BASE_PRICES!F45:P45,1,U45)))</f>
        <v/>
      </c>
      <c r="W45" s="20">
        <f>IF(ORDER!G46=0,0,IF(ISNUMBER(ORDER!H46),0,1))</f>
        <v>0</v>
      </c>
    </row>
    <row r="46" spans="1:23" ht="78" customHeight="1">
      <c r="A46" s="4" t="e" vm="42">
        <v>#VALUE!</v>
      </c>
      <c r="B46" s="1" t="str">
        <f>ORDER!B47</f>
        <v>Candle — Seal of Lilith</v>
      </c>
      <c r="C46" s="1" t="str">
        <f>ORDER!C47</f>
        <v>Black</v>
      </c>
      <c r="D46" s="1" t="str">
        <f>ORDER!D47</f>
        <v>60x55x2mm</v>
      </c>
      <c r="E46" s="19">
        <v>45</v>
      </c>
      <c r="F46" s="35" t="s">
        <v>149</v>
      </c>
      <c r="G46" s="32">
        <f xmlns="http://schemas.openxmlformats.org/spreadsheetml/2006/main">ROUND(BASE_PRICES!B46*(1+DETAILS!$B$30)/DETAILS!$B$26,4)</f>
        <v>59.99</v>
      </c>
      <c r="H46" s="33">
        <f>BASE_PRICES!C46</f>
        <v>1</v>
      </c>
      <c r="I46" s="33">
        <f>BASE_PRICES!D46</f>
        <v>1</v>
      </c>
      <c r="J46" s="32">
        <f xmlns="http://schemas.openxmlformats.org/spreadsheetml/2006/main">IF(1&lt;BASE_PRICES!D46,"",IF(BASE_PRICES!F46="","",ROUND(BASE_PRICES!F46*(1+DETAILS!$B$30)/DETAILS!$B$26,4)))</f>
        <v>59.99</v>
      </c>
      <c r="K46" s="32">
        <f xmlns="http://schemas.openxmlformats.org/spreadsheetml/2006/main">IF(5&lt;BASE_PRICES!D46,"",IF(BASE_PRICES!G46="","",ROUND(BASE_PRICES!G46*(1+DETAILS!$B$30)/DETAILS!$B$26,4)))</f>
        <v>44.99</v>
      </c>
      <c r="L46" s="32">
        <f xmlns="http://schemas.openxmlformats.org/spreadsheetml/2006/main">IF(10&lt;BASE_PRICES!D46,"",IF(BASE_PRICES!H46="","",ROUND(BASE_PRICES!H46*(1+DETAILS!$B$30)/DETAILS!$B$26,4)))</f>
        <v>41.993000000000002</v>
      </c>
      <c r="M46" s="32">
        <f xmlns="http://schemas.openxmlformats.org/spreadsheetml/2006/main">IF(20&lt;BASE_PRICES!D46,"",IF(BASE_PRICES!I46="","",ROUND(BASE_PRICES!I46*(1+DETAILS!$B$30)/DETAILS!$B$26,4)))</f>
        <v>40.79</v>
      </c>
      <c r="N46" s="32">
        <f xmlns="http://schemas.openxmlformats.org/spreadsheetml/2006/main">IF(25&lt;BASE_PRICES!D46,"",IF(BASE_PRICES!J46="","",ROUND(BASE_PRICES!J46*(1+DETAILS!$B$30)/DETAILS!$B$26,4)))</f>
        <v>40.79</v>
      </c>
      <c r="O46" s="32">
        <f xmlns="http://schemas.openxmlformats.org/spreadsheetml/2006/main">IF(30&lt;BASE_PRICES!D46,"",IF(BASE_PRICES!K46="","",ROUND(BASE_PRICES!K46*(1+DETAILS!$B$30)/DETAILS!$B$26,4)))</f>
        <v>40.79</v>
      </c>
      <c r="P46" s="32">
        <f xmlns="http://schemas.openxmlformats.org/spreadsheetml/2006/main">IF(50&lt;BASE_PRICES!D46,"",IF(BASE_PRICES!L46="","",ROUND(BASE_PRICES!L46*(1+DETAILS!$B$30)/DETAILS!$B$26,4)))</f>
        <v>38.99</v>
      </c>
      <c r="Q46" s="32">
        <f xmlns="http://schemas.openxmlformats.org/spreadsheetml/2006/main">IF(100&lt;BASE_PRICES!D46,"",IF(BASE_PRICES!M46="","",ROUND(BASE_PRICES!M46*(1+DETAILS!$B$30)/DETAILS!$B$26,4)))</f>
        <v>30.594899999999999</v>
      </c>
      <c r="R46" s="32" t="str">
        <f xmlns="http://schemas.openxmlformats.org/spreadsheetml/2006/main">IF(250&lt;BASE_PRICES!D46,"",IF(BASE_PRICES!N46="","",ROUND(BASE_PRICES!N46*(1+DETAILS!$B$30)/DETAILS!$B$26,4)))</f>
        <v>0</v>
      </c>
      <c r="S46" s="32" t="str">
        <f xmlns="http://schemas.openxmlformats.org/spreadsheetml/2006/main">IF(500&lt;BASE_PRICES!D46,"",IF(BASE_PRICES!O46="","",ROUND(BASE_PRICES!O46*(1+DETAILS!$B$30)/DETAILS!$B$26,4)))</f>
        <v>0</v>
      </c>
      <c r="T46" s="32" t="str">
        <f xmlns="http://schemas.openxmlformats.org/spreadsheetml/2006/main">IF(1000&lt;BASE_PRICES!D46,"",IF(BASE_PRICES!P46="","",ROUND(BASE_PRICES!P46*(1+DETAILS!$B$30)/DETAILS!$B$26,4)))</f>
        <v>0</v>
      </c>
      <c r="U46" s="23">
        <f>IF(ISNUMBER(ORDER!G47),IF(AND(ORDER!G47&gt;=I46,MOD(ORDER!G47,BASE_PRICES!E46)=0),MATCH(ORDER!G47,$J$4:$T$4,1),0),0)</f>
        <v>0</v>
      </c>
      <c r="V46" s="23" t="str">
        <f>IF(U46=0,"",IF(INDEX(BASE_PRICES!F46:P46,1,U46)="","",INDEX(BASE_PRICES!F46:P46,1,U46)))</f>
        <v/>
      </c>
      <c r="W46" s="20">
        <f>IF(ORDER!G47=0,0,IF(ISNUMBER(ORDER!H47),0,1))</f>
        <v>0</v>
      </c>
    </row>
    <row r="47" spans="1:23" ht="78" customHeight="1">
      <c r="A47" s="4" t="e" vm="43">
        <v>#VALUE!</v>
      </c>
      <c r="B47" s="5" t="str">
        <f>ORDER!B48</f>
        <v>Candle — Earth Element, Guardian of the Home</v>
      </c>
      <c r="C47" s="5" t="str">
        <f>ORDER!C48</f>
        <v/>
      </c>
      <c r="D47" s="5">
        <f>ORDER!D48</f>
        <v>0</v>
      </c>
      <c r="E47" s="18">
        <v>60</v>
      </c>
      <c r="F47" s="35" t="s">
        <v>150</v>
      </c>
      <c r="G47" s="32">
        <f xmlns="http://schemas.openxmlformats.org/spreadsheetml/2006/main">ROUND(BASE_PRICES!B47*(1+DETAILS!$B$30)/DETAILS!$B$26,4)</f>
        <v>36.159999999999997</v>
      </c>
      <c r="H47" s="33">
        <f>BASE_PRICES!C47</f>
        <v>1</v>
      </c>
      <c r="I47" s="33">
        <f>BASE_PRICES!D47</f>
        <v>5</v>
      </c>
      <c r="J47" s="32" t="str">
        <f xmlns="http://schemas.openxmlformats.org/spreadsheetml/2006/main">IF(1&lt;BASE_PRICES!D47,"",IF(BASE_PRICES!F47="","",ROUND(BASE_PRICES!F47*(1+DETAILS!$B$30)/DETAILS!$B$26,4)))</f>
        <v>0</v>
      </c>
      <c r="K47" s="32">
        <f xmlns="http://schemas.openxmlformats.org/spreadsheetml/2006/main">IF(5&lt;BASE_PRICES!D47,"",IF(BASE_PRICES!G47="","",ROUND(BASE_PRICES!G47*(1+DETAILS!$B$30)/DETAILS!$B$26,4)))</f>
        <v>30.374400000000001</v>
      </c>
      <c r="L47" s="32">
        <f xmlns="http://schemas.openxmlformats.org/spreadsheetml/2006/main">IF(10&lt;BASE_PRICES!D47,"",IF(BASE_PRICES!H47="","",ROUND(BASE_PRICES!H47*(1+DETAILS!$B$30)/DETAILS!$B$26,4)))</f>
        <v>27.12</v>
      </c>
      <c r="M47" s="32">
        <f xmlns="http://schemas.openxmlformats.org/spreadsheetml/2006/main">IF(20&lt;BASE_PRICES!D47,"",IF(BASE_PRICES!I47="","",ROUND(BASE_PRICES!I47*(1+DETAILS!$B$30)/DETAILS!$B$26,4)))</f>
        <v>27.12</v>
      </c>
      <c r="N47" s="32">
        <f xmlns="http://schemas.openxmlformats.org/spreadsheetml/2006/main">IF(25&lt;BASE_PRICES!D47,"",IF(BASE_PRICES!J47="","",ROUND(BASE_PRICES!J47*(1+DETAILS!$B$30)/DETAILS!$B$26,4)))</f>
        <v>27.12</v>
      </c>
      <c r="O47" s="32">
        <f xmlns="http://schemas.openxmlformats.org/spreadsheetml/2006/main">IF(30&lt;BASE_PRICES!D47,"",IF(BASE_PRICES!K47="","",ROUND(BASE_PRICES!K47*(1+DETAILS!$B$30)/DETAILS!$B$26,4)))</f>
        <v>27.12</v>
      </c>
      <c r="P47" s="32">
        <f xmlns="http://schemas.openxmlformats.org/spreadsheetml/2006/main">IF(50&lt;BASE_PRICES!D47,"",IF(BASE_PRICES!L47="","",ROUND(BASE_PRICES!L47*(1+DETAILS!$B$30)/DETAILS!$B$26,4)))</f>
        <v>27.12</v>
      </c>
      <c r="Q47" s="32">
        <f xmlns="http://schemas.openxmlformats.org/spreadsheetml/2006/main">IF(100&lt;BASE_PRICES!D47,"",IF(BASE_PRICES!M47="","",ROUND(BASE_PRICES!M47*(1+DETAILS!$B$30)/DETAILS!$B$26,4)))</f>
        <v>24.2272</v>
      </c>
      <c r="R47" s="32">
        <f xmlns="http://schemas.openxmlformats.org/spreadsheetml/2006/main">IF(250&lt;BASE_PRICES!D47,"",IF(BASE_PRICES!N47="","",ROUND(BASE_PRICES!N47*(1+DETAILS!$B$30)/DETAILS!$B$26,4)))</f>
        <v>24.2272</v>
      </c>
      <c r="S47" s="32">
        <f xmlns="http://schemas.openxmlformats.org/spreadsheetml/2006/main">IF(500&lt;BASE_PRICES!D47,"",IF(BASE_PRICES!O47="","",ROUND(BASE_PRICES!O47*(1+DETAILS!$B$30)/DETAILS!$B$26,4)))</f>
        <v>24.2272</v>
      </c>
      <c r="T47" s="32">
        <f xmlns="http://schemas.openxmlformats.org/spreadsheetml/2006/main">IF(1000&lt;BASE_PRICES!D47,"",IF(BASE_PRICES!P47="","",ROUND(BASE_PRICES!P47*(1+DETAILS!$B$30)/DETAILS!$B$26,4)))</f>
        <v>24.2272</v>
      </c>
      <c r="U47" s="23">
        <f>IF(ISNUMBER(ORDER!G48),IF(AND(ORDER!G48&gt;=I47,MOD(ORDER!G48,BASE_PRICES!E47)=0),MATCH(ORDER!G48,$J$4:$T$4,1),0),0)</f>
        <v>0</v>
      </c>
      <c r="V47" s="23" t="str">
        <f>IF(U47=0,"",IF(INDEX(BASE_PRICES!F47:P47,1,U47)="","",INDEX(BASE_PRICES!F47:P47,1,U47)))</f>
        <v/>
      </c>
      <c r="W47" s="20">
        <f>IF(ORDER!G48=0,0,IF(ISNUMBER(ORDER!H48),0,1))</f>
        <v>0</v>
      </c>
    </row>
    <row r="48" spans="1:23" ht="78" customHeight="1">
      <c r="A48" s="4" t="e" vm="44">
        <v>#VALUE!</v>
      </c>
      <c r="B48" s="1" t="str">
        <f>ORDER!B49</f>
        <v>Candle — Third Eye, Ajna</v>
      </c>
      <c r="C48" s="1" t="str">
        <f>ORDER!C49</f>
        <v>Blue</v>
      </c>
      <c r="D48" s="1">
        <f>ORDER!D49</f>
        <v>0</v>
      </c>
      <c r="E48" s="19">
        <v>60</v>
      </c>
      <c r="F48" s="35" t="s">
        <v>151</v>
      </c>
      <c r="G48" s="32">
        <f xmlns="http://schemas.openxmlformats.org/spreadsheetml/2006/main">ROUND(BASE_PRICES!B48*(1+DETAILS!$B$30)/DETAILS!$B$26,4)</f>
        <v>37.56</v>
      </c>
      <c r="H48" s="33">
        <f>BASE_PRICES!C48</f>
        <v>1</v>
      </c>
      <c r="I48" s="33">
        <f>BASE_PRICES!D48</f>
        <v>5</v>
      </c>
      <c r="J48" s="32" t="str">
        <f xmlns="http://schemas.openxmlformats.org/spreadsheetml/2006/main">IF(1&lt;BASE_PRICES!D48,"",IF(BASE_PRICES!F48="","",ROUND(BASE_PRICES!F48*(1+DETAILS!$B$30)/DETAILS!$B$26,4)))</f>
        <v>0</v>
      </c>
      <c r="K48" s="32">
        <f xmlns="http://schemas.openxmlformats.org/spreadsheetml/2006/main">IF(5&lt;BASE_PRICES!D48,"",IF(BASE_PRICES!G48="","",ROUND(BASE_PRICES!G48*(1+DETAILS!$B$30)/DETAILS!$B$26,4)))</f>
        <v>31.5504</v>
      </c>
      <c r="L48" s="32">
        <f xmlns="http://schemas.openxmlformats.org/spreadsheetml/2006/main">IF(10&lt;BASE_PRICES!D48,"",IF(BASE_PRICES!H48="","",ROUND(BASE_PRICES!H48*(1+DETAILS!$B$30)/DETAILS!$B$26,4)))</f>
        <v>28.17</v>
      </c>
      <c r="M48" s="32">
        <f xmlns="http://schemas.openxmlformats.org/spreadsheetml/2006/main">IF(20&lt;BASE_PRICES!D48,"",IF(BASE_PRICES!I48="","",ROUND(BASE_PRICES!I48*(1+DETAILS!$B$30)/DETAILS!$B$26,4)))</f>
        <v>28.17</v>
      </c>
      <c r="N48" s="32">
        <f xmlns="http://schemas.openxmlformats.org/spreadsheetml/2006/main">IF(25&lt;BASE_PRICES!D48,"",IF(BASE_PRICES!J48="","",ROUND(BASE_PRICES!J48*(1+DETAILS!$B$30)/DETAILS!$B$26,4)))</f>
        <v>28.17</v>
      </c>
      <c r="O48" s="32">
        <f xmlns="http://schemas.openxmlformats.org/spreadsheetml/2006/main">IF(30&lt;BASE_PRICES!D48,"",IF(BASE_PRICES!K48="","",ROUND(BASE_PRICES!K48*(1+DETAILS!$B$30)/DETAILS!$B$26,4)))</f>
        <v>28.17</v>
      </c>
      <c r="P48" s="32">
        <f xmlns="http://schemas.openxmlformats.org/spreadsheetml/2006/main">IF(50&lt;BASE_PRICES!D48,"",IF(BASE_PRICES!L48="","",ROUND(BASE_PRICES!L48*(1+DETAILS!$B$30)/DETAILS!$B$26,4)))</f>
        <v>28.17</v>
      </c>
      <c r="Q48" s="32">
        <f xmlns="http://schemas.openxmlformats.org/spreadsheetml/2006/main">IF(100&lt;BASE_PRICES!D48,"",IF(BASE_PRICES!M48="","",ROUND(BASE_PRICES!M48*(1+DETAILS!$B$30)/DETAILS!$B$26,4)))</f>
        <v>25.165199999999999</v>
      </c>
      <c r="R48" s="32">
        <f xmlns="http://schemas.openxmlformats.org/spreadsheetml/2006/main">IF(250&lt;BASE_PRICES!D48,"",IF(BASE_PRICES!N48="","",ROUND(BASE_PRICES!N48*(1+DETAILS!$B$30)/DETAILS!$B$26,4)))</f>
        <v>25.165199999999999</v>
      </c>
      <c r="S48" s="32">
        <f xmlns="http://schemas.openxmlformats.org/spreadsheetml/2006/main">IF(500&lt;BASE_PRICES!D48,"",IF(BASE_PRICES!O48="","",ROUND(BASE_PRICES!O48*(1+DETAILS!$B$30)/DETAILS!$B$26,4)))</f>
        <v>25.165199999999999</v>
      </c>
      <c r="T48" s="32">
        <f xmlns="http://schemas.openxmlformats.org/spreadsheetml/2006/main">IF(1000&lt;BASE_PRICES!D48,"",IF(BASE_PRICES!P48="","",ROUND(BASE_PRICES!P48*(1+DETAILS!$B$30)/DETAILS!$B$26,4)))</f>
        <v>25.165199999999999</v>
      </c>
      <c r="U48" s="23">
        <f>IF(ISNUMBER(ORDER!G49),IF(AND(ORDER!G49&gt;=I48,MOD(ORDER!G49,BASE_PRICES!E48)=0),MATCH(ORDER!G49,$J$4:$T$4,1),0),0)</f>
        <v>0</v>
      </c>
      <c r="V48" s="23" t="str">
        <f>IF(U48=0,"",IF(INDEX(BASE_PRICES!F48:P48,1,U48)="","",INDEX(BASE_PRICES!F48:P48,1,U48)))</f>
        <v/>
      </c>
      <c r="W48" s="20">
        <f>IF(ORDER!G49=0,0,IF(ISNUMBER(ORDER!H49),0,1))</f>
        <v>0</v>
      </c>
    </row>
    <row r="49" spans="1:23" ht="78" customHeight="1">
      <c r="A49" s="4" t="e" vm="45">
        <v>#VALUE!</v>
      </c>
      <c r="B49" s="5" t="str">
        <f>ORDER!B50</f>
        <v>Ansuz rune candle</v>
      </c>
      <c r="C49" s="5" t="str">
        <f>ORDER!C50</f>
        <v>Natural yellow</v>
      </c>
      <c r="D49" s="5" t="str">
        <f>ORDER!D50</f>
        <v>60×25 mm</v>
      </c>
      <c r="E49" s="18">
        <v>35</v>
      </c>
      <c r="F49" s="35" t="s">
        <v>152</v>
      </c>
      <c r="G49" s="32">
        <f xmlns="http://schemas.openxmlformats.org/spreadsheetml/2006/main">ROUND(BASE_PRICES!B49*(1+DETAILS!$B$30)/DETAILS!$B$26,4)</f>
        <v>19.600000000000001</v>
      </c>
      <c r="H49" s="33">
        <f>BASE_PRICES!C49</f>
        <v>1</v>
      </c>
      <c r="I49" s="33">
        <f>BASE_PRICES!D49</f>
        <v>1</v>
      </c>
      <c r="J49" s="32">
        <f xmlns="http://schemas.openxmlformats.org/spreadsheetml/2006/main">IF(1&lt;BASE_PRICES!D49,"",IF(BASE_PRICES!F49="","",ROUND(BASE_PRICES!F49*(1+DETAILS!$B$30)/DETAILS!$B$26,4)))</f>
        <v>19.600000000000001</v>
      </c>
      <c r="K49" s="32">
        <f xmlns="http://schemas.openxmlformats.org/spreadsheetml/2006/main">IF(5&lt;BASE_PRICES!D49,"",IF(BASE_PRICES!G49="","",ROUND(BASE_PRICES!G49*(1+DETAILS!$B$30)/DETAILS!$B$26,4)))</f>
        <v>16.463999999999999</v>
      </c>
      <c r="L49" s="32">
        <f xmlns="http://schemas.openxmlformats.org/spreadsheetml/2006/main">IF(10&lt;BASE_PRICES!D49,"",IF(BASE_PRICES!H49="","",ROUND(BASE_PRICES!H49*(1+DETAILS!$B$30)/DETAILS!$B$26,4)))</f>
        <v>14.504</v>
      </c>
      <c r="M49" s="32">
        <f xmlns="http://schemas.openxmlformats.org/spreadsheetml/2006/main">IF(20&lt;BASE_PRICES!D49,"",IF(BASE_PRICES!I49="","",ROUND(BASE_PRICES!I49*(1+DETAILS!$B$30)/DETAILS!$B$26,4)))</f>
        <v>14.504</v>
      </c>
      <c r="N49" s="32">
        <f xmlns="http://schemas.openxmlformats.org/spreadsheetml/2006/main">IF(25&lt;BASE_PRICES!D49,"",IF(BASE_PRICES!J49="","",ROUND(BASE_PRICES!J49*(1+DETAILS!$B$30)/DETAILS!$B$26,4)))</f>
        <v>14.504</v>
      </c>
      <c r="O49" s="32">
        <f xmlns="http://schemas.openxmlformats.org/spreadsheetml/2006/main">IF(30&lt;BASE_PRICES!D49,"",IF(BASE_PRICES!K49="","",ROUND(BASE_PRICES!K49*(1+DETAILS!$B$30)/DETAILS!$B$26,4)))</f>
        <v>13.72</v>
      </c>
      <c r="P49" s="32">
        <f xmlns="http://schemas.openxmlformats.org/spreadsheetml/2006/main">IF(50&lt;BASE_PRICES!D49,"",IF(BASE_PRICES!L49="","",ROUND(BASE_PRICES!L49*(1+DETAILS!$B$30)/DETAILS!$B$26,4)))</f>
        <v>11.36</v>
      </c>
      <c r="Q49" s="32" t="str">
        <f xmlns="http://schemas.openxmlformats.org/spreadsheetml/2006/main">IF(100&lt;BASE_PRICES!D49,"",IF(BASE_PRICES!M49="","",ROUND(BASE_PRICES!M49*(1+DETAILS!$B$30)/DETAILS!$B$26,4)))</f>
        <v>0</v>
      </c>
      <c r="R49" s="32" t="str">
        <f xmlns="http://schemas.openxmlformats.org/spreadsheetml/2006/main">IF(250&lt;BASE_PRICES!D49,"",IF(BASE_PRICES!N49="","",ROUND(BASE_PRICES!N49*(1+DETAILS!$B$30)/DETAILS!$B$26,4)))</f>
        <v>0</v>
      </c>
      <c r="S49" s="32" t="str">
        <f xmlns="http://schemas.openxmlformats.org/spreadsheetml/2006/main">IF(500&lt;BASE_PRICES!D49,"",IF(BASE_PRICES!O49="","",ROUND(BASE_PRICES!O49*(1+DETAILS!$B$30)/DETAILS!$B$26,4)))</f>
        <v>0</v>
      </c>
      <c r="T49" s="32" t="str">
        <f xmlns="http://schemas.openxmlformats.org/spreadsheetml/2006/main">IF(1000&lt;BASE_PRICES!D49,"",IF(BASE_PRICES!P49="","",ROUND(BASE_PRICES!P49*(1+DETAILS!$B$30)/DETAILS!$B$26,4)))</f>
        <v>0</v>
      </c>
      <c r="U49" s="23">
        <f>IF(ISNUMBER(ORDER!G50),IF(AND(ORDER!G50&gt;=I49,MOD(ORDER!G50,BASE_PRICES!E49)=0),MATCH(ORDER!G50,$J$4:$T$4,1),0),0)</f>
        <v>0</v>
      </c>
      <c r="V49" s="23" t="str">
        <f>IF(U49=0,"",IF(INDEX(BASE_PRICES!F49:P49,1,U49)="","",INDEX(BASE_PRICES!F49:P49,1,U49)))</f>
        <v/>
      </c>
      <c r="W49" s="20">
        <f>IF(ORDER!G50=0,0,IF(ISNUMBER(ORDER!H50),0,1))</f>
        <v>0</v>
      </c>
    </row>
    <row r="50" spans="1:23" ht="78" customHeight="1">
      <c r="A50" s="4" t="e" vm="46">
        <v>#VALUE!</v>
      </c>
      <c r="B50" s="1" t="str">
        <f>ORDER!B51</f>
        <v>Berkano rune candle</v>
      </c>
      <c r="C50" s="1" t="str">
        <f>ORDER!C51</f>
        <v>Natural yellow</v>
      </c>
      <c r="D50" s="1" t="str">
        <f>ORDER!D51</f>
        <v>60×25 mm</v>
      </c>
      <c r="E50" s="19">
        <v>35</v>
      </c>
      <c r="F50" s="36" t="s">
        <v>153</v>
      </c>
      <c r="G50" s="32">
        <f xmlns="http://schemas.openxmlformats.org/spreadsheetml/2006/main">ROUND(BASE_PRICES!B50*(1+DETAILS!$B$30)/DETAILS!$B$26,4)</f>
        <v>19.600000000000001</v>
      </c>
      <c r="H50" s="33">
        <f>BASE_PRICES!C50</f>
        <v>1</v>
      </c>
      <c r="I50" s="33">
        <f>BASE_PRICES!D50</f>
        <v>1</v>
      </c>
      <c r="J50" s="32">
        <f xmlns="http://schemas.openxmlformats.org/spreadsheetml/2006/main">IF(1&lt;BASE_PRICES!D50,"",IF(BASE_PRICES!F50="","",ROUND(BASE_PRICES!F50*(1+DETAILS!$B$30)/DETAILS!$B$26,4)))</f>
        <v>19.600000000000001</v>
      </c>
      <c r="K50" s="32">
        <f xmlns="http://schemas.openxmlformats.org/spreadsheetml/2006/main">IF(5&lt;BASE_PRICES!D50,"",IF(BASE_PRICES!G50="","",ROUND(BASE_PRICES!G50*(1+DETAILS!$B$30)/DETAILS!$B$26,4)))</f>
        <v>16.463999999999999</v>
      </c>
      <c r="L50" s="32">
        <f xmlns="http://schemas.openxmlformats.org/spreadsheetml/2006/main">IF(10&lt;BASE_PRICES!D50,"",IF(BASE_PRICES!H50="","",ROUND(BASE_PRICES!H50*(1+DETAILS!$B$30)/DETAILS!$B$26,4)))</f>
        <v>14.504</v>
      </c>
      <c r="M50" s="32">
        <f xmlns="http://schemas.openxmlformats.org/spreadsheetml/2006/main">IF(20&lt;BASE_PRICES!D50,"",IF(BASE_PRICES!I50="","",ROUND(BASE_PRICES!I50*(1+DETAILS!$B$30)/DETAILS!$B$26,4)))</f>
        <v>14.504</v>
      </c>
      <c r="N50" s="32">
        <f xmlns="http://schemas.openxmlformats.org/spreadsheetml/2006/main">IF(25&lt;BASE_PRICES!D50,"",IF(BASE_PRICES!J50="","",ROUND(BASE_PRICES!J50*(1+DETAILS!$B$30)/DETAILS!$B$26,4)))</f>
        <v>14.504</v>
      </c>
      <c r="O50" s="32">
        <f xmlns="http://schemas.openxmlformats.org/spreadsheetml/2006/main">IF(30&lt;BASE_PRICES!D50,"",IF(BASE_PRICES!K50="","",ROUND(BASE_PRICES!K50*(1+DETAILS!$B$30)/DETAILS!$B$26,4)))</f>
        <v>13.72</v>
      </c>
      <c r="P50" s="32">
        <f xmlns="http://schemas.openxmlformats.org/spreadsheetml/2006/main">IF(50&lt;BASE_PRICES!D50,"",IF(BASE_PRICES!L50="","",ROUND(BASE_PRICES!L50*(1+DETAILS!$B$30)/DETAILS!$B$26,4)))</f>
        <v>11.36</v>
      </c>
      <c r="Q50" s="32" t="str">
        <f xmlns="http://schemas.openxmlformats.org/spreadsheetml/2006/main">IF(100&lt;BASE_PRICES!D50,"",IF(BASE_PRICES!M50="","",ROUND(BASE_PRICES!M50*(1+DETAILS!$B$30)/DETAILS!$B$26,4)))</f>
        <v>0</v>
      </c>
      <c r="R50" s="32" t="str">
        <f xmlns="http://schemas.openxmlformats.org/spreadsheetml/2006/main">IF(250&lt;BASE_PRICES!D50,"",IF(BASE_PRICES!N50="","",ROUND(BASE_PRICES!N50*(1+DETAILS!$B$30)/DETAILS!$B$26,4)))</f>
        <v>0</v>
      </c>
      <c r="S50" s="32" t="str">
        <f xmlns="http://schemas.openxmlformats.org/spreadsheetml/2006/main">IF(500&lt;BASE_PRICES!D50,"",IF(BASE_PRICES!O50="","",ROUND(BASE_PRICES!O50*(1+DETAILS!$B$30)/DETAILS!$B$26,4)))</f>
        <v>0</v>
      </c>
      <c r="T50" s="32" t="str">
        <f xmlns="http://schemas.openxmlformats.org/spreadsheetml/2006/main">IF(1000&lt;BASE_PRICES!D50,"",IF(BASE_PRICES!P50="","",ROUND(BASE_PRICES!P50*(1+DETAILS!$B$30)/DETAILS!$B$26,4)))</f>
        <v>0</v>
      </c>
      <c r="U50" s="23">
        <f>IF(ISNUMBER(ORDER!G51),IF(AND(ORDER!G51&gt;=I50,MOD(ORDER!G51,BASE_PRICES!E50)=0),MATCH(ORDER!G51,$J$4:$T$4,1),0),0)</f>
        <v>0</v>
      </c>
      <c r="V50" s="23" t="str">
        <f>IF(U50=0,"",IF(INDEX(BASE_PRICES!F50:P50,1,U50)="","",INDEX(BASE_PRICES!F50:P50,1,U50)))</f>
        <v/>
      </c>
      <c r="W50" s="20">
        <f>IF(ORDER!G51=0,0,IF(ISNUMBER(ORDER!H51),0,1))</f>
        <v>0</v>
      </c>
    </row>
    <row r="51" spans="1:23" ht="78" customHeight="1">
      <c r="A51" s="4" t="e" vm="47">
        <v>#VALUE!</v>
      </c>
      <c r="B51" s="5" t="str">
        <f>ORDER!B52</f>
        <v>Fehu rune candle</v>
      </c>
      <c r="C51" s="5" t="str">
        <f>ORDER!C52</f>
        <v>Natural yellow</v>
      </c>
      <c r="D51" s="5" t="str">
        <f>ORDER!D52</f>
        <v>60×25 mm</v>
      </c>
      <c r="E51" s="18">
        <v>35</v>
      </c>
      <c r="F51" s="35" t="s">
        <v>154</v>
      </c>
      <c r="G51" s="32">
        <f xmlns="http://schemas.openxmlformats.org/spreadsheetml/2006/main">ROUND(BASE_PRICES!B51*(1+DETAILS!$B$30)/DETAILS!$B$26,4)</f>
        <v>19.600000000000001</v>
      </c>
      <c r="H51" s="33">
        <f>BASE_PRICES!C51</f>
        <v>1</v>
      </c>
      <c r="I51" s="33">
        <f>BASE_PRICES!D51</f>
        <v>1</v>
      </c>
      <c r="J51" s="32">
        <f xmlns="http://schemas.openxmlformats.org/spreadsheetml/2006/main">IF(1&lt;BASE_PRICES!D51,"",IF(BASE_PRICES!F51="","",ROUND(BASE_PRICES!F51*(1+DETAILS!$B$30)/DETAILS!$B$26,4)))</f>
        <v>19.600000000000001</v>
      </c>
      <c r="K51" s="32">
        <f xmlns="http://schemas.openxmlformats.org/spreadsheetml/2006/main">IF(5&lt;BASE_PRICES!D51,"",IF(BASE_PRICES!G51="","",ROUND(BASE_PRICES!G51*(1+DETAILS!$B$30)/DETAILS!$B$26,4)))</f>
        <v>16.463999999999999</v>
      </c>
      <c r="L51" s="32">
        <f xmlns="http://schemas.openxmlformats.org/spreadsheetml/2006/main">IF(10&lt;BASE_PRICES!D51,"",IF(BASE_PRICES!H51="","",ROUND(BASE_PRICES!H51*(1+DETAILS!$B$30)/DETAILS!$B$26,4)))</f>
        <v>14.504</v>
      </c>
      <c r="M51" s="32">
        <f xmlns="http://schemas.openxmlformats.org/spreadsheetml/2006/main">IF(20&lt;BASE_PRICES!D51,"",IF(BASE_PRICES!I51="","",ROUND(BASE_PRICES!I51*(1+DETAILS!$B$30)/DETAILS!$B$26,4)))</f>
        <v>14.504</v>
      </c>
      <c r="N51" s="32">
        <f xmlns="http://schemas.openxmlformats.org/spreadsheetml/2006/main">IF(25&lt;BASE_PRICES!D51,"",IF(BASE_PRICES!J51="","",ROUND(BASE_PRICES!J51*(1+DETAILS!$B$30)/DETAILS!$B$26,4)))</f>
        <v>14.504</v>
      </c>
      <c r="O51" s="32">
        <f xmlns="http://schemas.openxmlformats.org/spreadsheetml/2006/main">IF(30&lt;BASE_PRICES!D51,"",IF(BASE_PRICES!K51="","",ROUND(BASE_PRICES!K51*(1+DETAILS!$B$30)/DETAILS!$B$26,4)))</f>
        <v>13.72</v>
      </c>
      <c r="P51" s="32">
        <f xmlns="http://schemas.openxmlformats.org/spreadsheetml/2006/main">IF(50&lt;BASE_PRICES!D51,"",IF(BASE_PRICES!L51="","",ROUND(BASE_PRICES!L51*(1+DETAILS!$B$30)/DETAILS!$B$26,4)))</f>
        <v>11.36</v>
      </c>
      <c r="Q51" s="32" t="str">
        <f xmlns="http://schemas.openxmlformats.org/spreadsheetml/2006/main">IF(100&lt;BASE_PRICES!D51,"",IF(BASE_PRICES!M51="","",ROUND(BASE_PRICES!M51*(1+DETAILS!$B$30)/DETAILS!$B$26,4)))</f>
        <v>0</v>
      </c>
      <c r="R51" s="32" t="str">
        <f xmlns="http://schemas.openxmlformats.org/spreadsheetml/2006/main">IF(250&lt;BASE_PRICES!D51,"",IF(BASE_PRICES!N51="","",ROUND(BASE_PRICES!N51*(1+DETAILS!$B$30)/DETAILS!$B$26,4)))</f>
        <v>0</v>
      </c>
      <c r="S51" s="32" t="str">
        <f xmlns="http://schemas.openxmlformats.org/spreadsheetml/2006/main">IF(500&lt;BASE_PRICES!D51,"",IF(BASE_PRICES!O51="","",ROUND(BASE_PRICES!O51*(1+DETAILS!$B$30)/DETAILS!$B$26,4)))</f>
        <v>0</v>
      </c>
      <c r="T51" s="32" t="str">
        <f xmlns="http://schemas.openxmlformats.org/spreadsheetml/2006/main">IF(1000&lt;BASE_PRICES!D51,"",IF(BASE_PRICES!P51="","",ROUND(BASE_PRICES!P51*(1+DETAILS!$B$30)/DETAILS!$B$26,4)))</f>
        <v>0</v>
      </c>
      <c r="U51" s="23">
        <f>IF(ISNUMBER(ORDER!G52),IF(AND(ORDER!G52&gt;=I51,MOD(ORDER!G52,BASE_PRICES!E51)=0),MATCH(ORDER!G52,$J$4:$T$4,1),0),0)</f>
        <v>0</v>
      </c>
      <c r="V51" s="23" t="str">
        <f>IF(U51=0,"",IF(INDEX(BASE_PRICES!F51:P51,1,U51)="","",INDEX(BASE_PRICES!F51:P51,1,U51)))</f>
        <v/>
      </c>
      <c r="W51" s="20">
        <f>IF(ORDER!G52=0,0,IF(ISNUMBER(ORDER!H52),0,1))</f>
        <v>0</v>
      </c>
    </row>
    <row r="52" spans="1:23" ht="78" customHeight="1">
      <c r="A52" s="4" t="e" vm="48">
        <v>#VALUE!</v>
      </c>
      <c r="B52" s="1" t="str">
        <f>ORDER!B53</f>
        <v>Uruz rune candle</v>
      </c>
      <c r="C52" s="1" t="str">
        <f>ORDER!C53</f>
        <v>Natural yellow</v>
      </c>
      <c r="D52" s="1" t="str">
        <f>ORDER!D53</f>
        <v>60×25 mm</v>
      </c>
      <c r="E52" s="19">
        <v>35</v>
      </c>
      <c r="F52" s="35" t="s">
        <v>155</v>
      </c>
      <c r="G52" s="32">
        <f xmlns="http://schemas.openxmlformats.org/spreadsheetml/2006/main">ROUND(BASE_PRICES!B52*(1+DETAILS!$B$30)/DETAILS!$B$26,4)</f>
        <v>19.600000000000001</v>
      </c>
      <c r="H52" s="33">
        <f>BASE_PRICES!C52</f>
        <v>1</v>
      </c>
      <c r="I52" s="33">
        <f>BASE_PRICES!D52</f>
        <v>1</v>
      </c>
      <c r="J52" s="32">
        <f xmlns="http://schemas.openxmlformats.org/spreadsheetml/2006/main">IF(1&lt;BASE_PRICES!D52,"",IF(BASE_PRICES!F52="","",ROUND(BASE_PRICES!F52*(1+DETAILS!$B$30)/DETAILS!$B$26,4)))</f>
        <v>19.600000000000001</v>
      </c>
      <c r="K52" s="32">
        <f xmlns="http://schemas.openxmlformats.org/spreadsheetml/2006/main">IF(5&lt;BASE_PRICES!D52,"",IF(BASE_PRICES!G52="","",ROUND(BASE_PRICES!G52*(1+DETAILS!$B$30)/DETAILS!$B$26,4)))</f>
        <v>16.463999999999999</v>
      </c>
      <c r="L52" s="32">
        <f xmlns="http://schemas.openxmlformats.org/spreadsheetml/2006/main">IF(10&lt;BASE_PRICES!D52,"",IF(BASE_PRICES!H52="","",ROUND(BASE_PRICES!H52*(1+DETAILS!$B$30)/DETAILS!$B$26,4)))</f>
        <v>14.504</v>
      </c>
      <c r="M52" s="32">
        <f xmlns="http://schemas.openxmlformats.org/spreadsheetml/2006/main">IF(20&lt;BASE_PRICES!D52,"",IF(BASE_PRICES!I52="","",ROUND(BASE_PRICES!I52*(1+DETAILS!$B$30)/DETAILS!$B$26,4)))</f>
        <v>14.504</v>
      </c>
      <c r="N52" s="32">
        <f xmlns="http://schemas.openxmlformats.org/spreadsheetml/2006/main">IF(25&lt;BASE_PRICES!D52,"",IF(BASE_PRICES!J52="","",ROUND(BASE_PRICES!J52*(1+DETAILS!$B$30)/DETAILS!$B$26,4)))</f>
        <v>14.504</v>
      </c>
      <c r="O52" s="32">
        <f xmlns="http://schemas.openxmlformats.org/spreadsheetml/2006/main">IF(30&lt;BASE_PRICES!D52,"",IF(BASE_PRICES!K52="","",ROUND(BASE_PRICES!K52*(1+DETAILS!$B$30)/DETAILS!$B$26,4)))</f>
        <v>13.72</v>
      </c>
      <c r="P52" s="32">
        <f xmlns="http://schemas.openxmlformats.org/spreadsheetml/2006/main">IF(50&lt;BASE_PRICES!D52,"",IF(BASE_PRICES!L52="","",ROUND(BASE_PRICES!L52*(1+DETAILS!$B$30)/DETAILS!$B$26,4)))</f>
        <v>11.36</v>
      </c>
      <c r="Q52" s="32" t="str">
        <f xmlns="http://schemas.openxmlformats.org/spreadsheetml/2006/main">IF(100&lt;BASE_PRICES!D52,"",IF(BASE_PRICES!M52="","",ROUND(BASE_PRICES!M52*(1+DETAILS!$B$30)/DETAILS!$B$26,4)))</f>
        <v>0</v>
      </c>
      <c r="R52" s="32" t="str">
        <f xmlns="http://schemas.openxmlformats.org/spreadsheetml/2006/main">IF(250&lt;BASE_PRICES!D52,"",IF(BASE_PRICES!N52="","",ROUND(BASE_PRICES!N52*(1+DETAILS!$B$30)/DETAILS!$B$26,4)))</f>
        <v>0</v>
      </c>
      <c r="S52" s="32" t="str">
        <f xmlns="http://schemas.openxmlformats.org/spreadsheetml/2006/main">IF(500&lt;BASE_PRICES!D52,"",IF(BASE_PRICES!O52="","",ROUND(BASE_PRICES!O52*(1+DETAILS!$B$30)/DETAILS!$B$26,4)))</f>
        <v>0</v>
      </c>
      <c r="T52" s="32" t="str">
        <f xmlns="http://schemas.openxmlformats.org/spreadsheetml/2006/main">IF(1000&lt;BASE_PRICES!D52,"",IF(BASE_PRICES!P52="","",ROUND(BASE_PRICES!P52*(1+DETAILS!$B$30)/DETAILS!$B$26,4)))</f>
        <v>0</v>
      </c>
      <c r="U52" s="23">
        <f>IF(ISNUMBER(ORDER!G53),IF(AND(ORDER!G53&gt;=I52,MOD(ORDER!G53,BASE_PRICES!E52)=0),MATCH(ORDER!G53,$J$4:$T$4,1),0),0)</f>
        <v>0</v>
      </c>
      <c r="V52" s="23" t="str">
        <f>IF(U52=0,"",IF(INDEX(BASE_PRICES!F52:P52,1,U52)="","",INDEX(BASE_PRICES!F52:P52,1,U52)))</f>
        <v/>
      </c>
      <c r="W52" s="20">
        <f>IF(ORDER!G53=0,0,IF(ISNUMBER(ORDER!H53),0,1))</f>
        <v>0</v>
      </c>
    </row>
    <row r="53" spans="1:23" ht="78" customHeight="1">
      <c r="A53" s="4" t="e" vm="49">
        <v>#VALUE!</v>
      </c>
      <c r="B53" s="5" t="str">
        <f>ORDER!B54</f>
        <v>Wunjo rune candle</v>
      </c>
      <c r="C53" s="5" t="str">
        <f>ORDER!C54</f>
        <v>Natural yellow</v>
      </c>
      <c r="D53" s="5" t="str">
        <f>ORDER!D54</f>
        <v>60×25 mm</v>
      </c>
      <c r="E53" s="18">
        <v>35</v>
      </c>
      <c r="F53" s="35" t="s">
        <v>156</v>
      </c>
      <c r="G53" s="32">
        <f xmlns="http://schemas.openxmlformats.org/spreadsheetml/2006/main">ROUND(BASE_PRICES!B53*(1+DETAILS!$B$30)/DETAILS!$B$26,4)</f>
        <v>19.600000000000001</v>
      </c>
      <c r="H53" s="33">
        <f>BASE_PRICES!C53</f>
        <v>1</v>
      </c>
      <c r="I53" s="33">
        <f>BASE_PRICES!D53</f>
        <v>1</v>
      </c>
      <c r="J53" s="32">
        <f xmlns="http://schemas.openxmlformats.org/spreadsheetml/2006/main">IF(1&lt;BASE_PRICES!D53,"",IF(BASE_PRICES!F53="","",ROUND(BASE_PRICES!F53*(1+DETAILS!$B$30)/DETAILS!$B$26,4)))</f>
        <v>19.600000000000001</v>
      </c>
      <c r="K53" s="32">
        <f xmlns="http://schemas.openxmlformats.org/spreadsheetml/2006/main">IF(5&lt;BASE_PRICES!D53,"",IF(BASE_PRICES!G53="","",ROUND(BASE_PRICES!G53*(1+DETAILS!$B$30)/DETAILS!$B$26,4)))</f>
        <v>16.463999999999999</v>
      </c>
      <c r="L53" s="32">
        <f xmlns="http://schemas.openxmlformats.org/spreadsheetml/2006/main">IF(10&lt;BASE_PRICES!D53,"",IF(BASE_PRICES!H53="","",ROUND(BASE_PRICES!H53*(1+DETAILS!$B$30)/DETAILS!$B$26,4)))</f>
        <v>14.504</v>
      </c>
      <c r="M53" s="32">
        <f xmlns="http://schemas.openxmlformats.org/spreadsheetml/2006/main">IF(20&lt;BASE_PRICES!D53,"",IF(BASE_PRICES!I53="","",ROUND(BASE_PRICES!I53*(1+DETAILS!$B$30)/DETAILS!$B$26,4)))</f>
        <v>14.504</v>
      </c>
      <c r="N53" s="32">
        <f xmlns="http://schemas.openxmlformats.org/spreadsheetml/2006/main">IF(25&lt;BASE_PRICES!D53,"",IF(BASE_PRICES!J53="","",ROUND(BASE_PRICES!J53*(1+DETAILS!$B$30)/DETAILS!$B$26,4)))</f>
        <v>14.504</v>
      </c>
      <c r="O53" s="32">
        <f xmlns="http://schemas.openxmlformats.org/spreadsheetml/2006/main">IF(30&lt;BASE_PRICES!D53,"",IF(BASE_PRICES!K53="","",ROUND(BASE_PRICES!K53*(1+DETAILS!$B$30)/DETAILS!$B$26,4)))</f>
        <v>13.72</v>
      </c>
      <c r="P53" s="32">
        <f xmlns="http://schemas.openxmlformats.org/spreadsheetml/2006/main">IF(50&lt;BASE_PRICES!D53,"",IF(BASE_PRICES!L53="","",ROUND(BASE_PRICES!L53*(1+DETAILS!$B$30)/DETAILS!$B$26,4)))</f>
        <v>11.36</v>
      </c>
      <c r="Q53" s="32" t="str">
        <f xmlns="http://schemas.openxmlformats.org/spreadsheetml/2006/main">IF(100&lt;BASE_PRICES!D53,"",IF(BASE_PRICES!M53="","",ROUND(BASE_PRICES!M53*(1+DETAILS!$B$30)/DETAILS!$B$26,4)))</f>
        <v>0</v>
      </c>
      <c r="R53" s="32" t="str">
        <f xmlns="http://schemas.openxmlformats.org/spreadsheetml/2006/main">IF(250&lt;BASE_PRICES!D53,"",IF(BASE_PRICES!N53="","",ROUND(BASE_PRICES!N53*(1+DETAILS!$B$30)/DETAILS!$B$26,4)))</f>
        <v>0</v>
      </c>
      <c r="S53" s="32" t="str">
        <f xmlns="http://schemas.openxmlformats.org/spreadsheetml/2006/main">IF(500&lt;BASE_PRICES!D53,"",IF(BASE_PRICES!O53="","",ROUND(BASE_PRICES!O53*(1+DETAILS!$B$30)/DETAILS!$B$26,4)))</f>
        <v>0</v>
      </c>
      <c r="T53" s="32" t="str">
        <f xmlns="http://schemas.openxmlformats.org/spreadsheetml/2006/main">IF(1000&lt;BASE_PRICES!D53,"",IF(BASE_PRICES!P53="","",ROUND(BASE_PRICES!P53*(1+DETAILS!$B$30)/DETAILS!$B$26,4)))</f>
        <v>0</v>
      </c>
      <c r="U53" s="23">
        <f>IF(ISNUMBER(ORDER!G54),IF(AND(ORDER!G54&gt;=I53,MOD(ORDER!G54,BASE_PRICES!E53)=0),MATCH(ORDER!G54,$J$4:$T$4,1),0),0)</f>
        <v>0</v>
      </c>
      <c r="V53" s="23" t="str">
        <f>IF(U53=0,"",IF(INDEX(BASE_PRICES!F53:P53,1,U53)="","",INDEX(BASE_PRICES!F53:P53,1,U53)))</f>
        <v/>
      </c>
      <c r="W53" s="20">
        <f>IF(ORDER!G54=0,0,IF(ISNUMBER(ORDER!H54),0,1))</f>
        <v>0</v>
      </c>
    </row>
    <row r="54" spans="1:23" ht="78" customHeight="1">
      <c r="A54" s="4" t="e" vm="50">
        <v>#VALUE!</v>
      </c>
      <c r="B54" s="1" t="str">
        <f>ORDER!B55</f>
        <v>Candle holder</v>
      </c>
      <c r="C54" s="1" t="str">
        <f>ORDER!C55</f>
        <v>Gold</v>
      </c>
      <c r="D54" s="1" t="str">
        <f>ORDER!D55</f>
        <v>2 cm</v>
      </c>
      <c r="E54" s="19"/>
      <c r="F54" s="35" t="s">
        <v>157</v>
      </c>
      <c r="G54" s="32">
        <f xmlns="http://schemas.openxmlformats.org/spreadsheetml/2006/main">ROUND(BASE_PRICES!B54*(1+DETAILS!$B$30)/DETAILS!$B$26,4)</f>
        <v>63.2</v>
      </c>
      <c r="H54" s="33">
        <f>BASE_PRICES!C54</f>
        <v>1</v>
      </c>
      <c r="I54" s="33">
        <f>BASE_PRICES!D54</f>
        <v>1</v>
      </c>
      <c r="J54" s="32">
        <f xmlns="http://schemas.openxmlformats.org/spreadsheetml/2006/main">IF(1&lt;BASE_PRICES!D54,"",IF(BASE_PRICES!F54="","",ROUND(BASE_PRICES!F54*(1+DETAILS!$B$30)/DETAILS!$B$26,4)))</f>
        <v>63.2</v>
      </c>
      <c r="K54" s="32">
        <f xmlns="http://schemas.openxmlformats.org/spreadsheetml/2006/main">IF(5&lt;BASE_PRICES!D54,"",IF(BASE_PRICES!G54="","",ROUND(BASE_PRICES!G54*(1+DETAILS!$B$30)/DETAILS!$B$26,4)))</f>
        <v>53.72</v>
      </c>
      <c r="L54" s="32">
        <f xmlns="http://schemas.openxmlformats.org/spreadsheetml/2006/main">IF(10&lt;BASE_PRICES!D54,"",IF(BASE_PRICES!H54="","",ROUND(BASE_PRICES!H54*(1+DETAILS!$B$30)/DETAILS!$B$26,4)))</f>
        <v>50.56</v>
      </c>
      <c r="M54" s="32">
        <f xmlns="http://schemas.openxmlformats.org/spreadsheetml/2006/main">IF(20&lt;BASE_PRICES!D54,"",IF(BASE_PRICES!I54="","",ROUND(BASE_PRICES!I54*(1+DETAILS!$B$30)/DETAILS!$B$26,4)))</f>
        <v>49.295999999999999</v>
      </c>
      <c r="N54" s="32">
        <f xmlns="http://schemas.openxmlformats.org/spreadsheetml/2006/main">IF(25&lt;BASE_PRICES!D54,"",IF(BASE_PRICES!J54="","",ROUND(BASE_PRICES!J54*(1+DETAILS!$B$30)/DETAILS!$B$26,4)))</f>
        <v>47.4</v>
      </c>
      <c r="O54" s="32">
        <f xmlns="http://schemas.openxmlformats.org/spreadsheetml/2006/main">IF(30&lt;BASE_PRICES!D54,"",IF(BASE_PRICES!K54="","",ROUND(BASE_PRICES!K54*(1+DETAILS!$B$30)/DETAILS!$B$26,4)))</f>
        <v>41.08</v>
      </c>
      <c r="P54" s="32">
        <f xmlns="http://schemas.openxmlformats.org/spreadsheetml/2006/main">IF(50&lt;BASE_PRICES!D54,"",IF(BASE_PRICES!L54="","",ROUND(BASE_PRICES!L54*(1+DETAILS!$B$30)/DETAILS!$B$26,4)))</f>
        <v>36.65</v>
      </c>
      <c r="Q54" s="32" t="str">
        <f xmlns="http://schemas.openxmlformats.org/spreadsheetml/2006/main">IF(100&lt;BASE_PRICES!D54,"",IF(BASE_PRICES!M54="","",ROUND(BASE_PRICES!M54*(1+DETAILS!$B$30)/DETAILS!$B$26,4)))</f>
        <v>0</v>
      </c>
      <c r="R54" s="32" t="str">
        <f xmlns="http://schemas.openxmlformats.org/spreadsheetml/2006/main">IF(250&lt;BASE_PRICES!D54,"",IF(BASE_PRICES!N54="","",ROUND(BASE_PRICES!N54*(1+DETAILS!$B$30)/DETAILS!$B$26,4)))</f>
        <v>0</v>
      </c>
      <c r="S54" s="32" t="str">
        <f xmlns="http://schemas.openxmlformats.org/spreadsheetml/2006/main">IF(500&lt;BASE_PRICES!D54,"",IF(BASE_PRICES!O54="","",ROUND(BASE_PRICES!O54*(1+DETAILS!$B$30)/DETAILS!$B$26,4)))</f>
        <v>0</v>
      </c>
      <c r="T54" s="32" t="str">
        <f xmlns="http://schemas.openxmlformats.org/spreadsheetml/2006/main">IF(1000&lt;BASE_PRICES!D54,"",IF(BASE_PRICES!P54="","",ROUND(BASE_PRICES!P54*(1+DETAILS!$B$30)/DETAILS!$B$26,4)))</f>
        <v>0</v>
      </c>
      <c r="U54" s="23">
        <f>IF(ISNUMBER(ORDER!G55),IF(AND(ORDER!G55&gt;=I54,MOD(ORDER!G55,BASE_PRICES!E54)=0),MATCH(ORDER!G55,$J$4:$T$4,1),0),0)</f>
        <v>0</v>
      </c>
      <c r="V54" s="23" t="str">
        <f>IF(U54=0,"",IF(INDEX(BASE_PRICES!F54:P54,1,U54)="","",INDEX(BASE_PRICES!F54:P54,1,U54)))</f>
        <v/>
      </c>
      <c r="W54" s="20">
        <f>IF(ORDER!G55=0,0,IF(ISNUMBER(ORDER!H55),0,1))</f>
        <v>0</v>
      </c>
    </row>
    <row r="55" spans="1:23" ht="78" customHeight="1">
      <c r="A55" s="4" t="e" vm="51">
        <v>#VALUE!</v>
      </c>
      <c r="B55" s="5" t="str">
        <f>ORDER!B56</f>
        <v>Candle holder</v>
      </c>
      <c r="C55" s="5" t="str">
        <f>ORDER!C56</f>
        <v>Gold</v>
      </c>
      <c r="D55" s="5" t="str">
        <f>ORDER!D56</f>
        <v>0,6 cm</v>
      </c>
      <c r="E55" s="18"/>
      <c r="F55" s="35" t="s">
        <v>158</v>
      </c>
      <c r="G55" s="32">
        <f xmlns="http://schemas.openxmlformats.org/spreadsheetml/2006/main">ROUND(BASE_PRICES!B55*(1+DETAILS!$B$30)/DETAILS!$B$26,4)</f>
        <v>53.2</v>
      </c>
      <c r="H55" s="33">
        <f>BASE_PRICES!C55</f>
        <v>1</v>
      </c>
      <c r="I55" s="33">
        <f>BASE_PRICES!D55</f>
        <v>1</v>
      </c>
      <c r="J55" s="32">
        <f xmlns="http://schemas.openxmlformats.org/spreadsheetml/2006/main">IF(1&lt;BASE_PRICES!D55,"",IF(BASE_PRICES!F55="","",ROUND(BASE_PRICES!F55*(1+DETAILS!$B$30)/DETAILS!$B$26,4)))</f>
        <v>53.2</v>
      </c>
      <c r="K55" s="32">
        <f xmlns="http://schemas.openxmlformats.org/spreadsheetml/2006/main">IF(5&lt;BASE_PRICES!D55,"",IF(BASE_PRICES!G55="","",ROUND(BASE_PRICES!G55*(1+DETAILS!$B$30)/DETAILS!$B$26,4)))</f>
        <v>45.22</v>
      </c>
      <c r="L55" s="32">
        <f xmlns="http://schemas.openxmlformats.org/spreadsheetml/2006/main">IF(10&lt;BASE_PRICES!D55,"",IF(BASE_PRICES!H55="","",ROUND(BASE_PRICES!H55*(1+DETAILS!$B$30)/DETAILS!$B$26,4)))</f>
        <v>42.56</v>
      </c>
      <c r="M55" s="32">
        <f xmlns="http://schemas.openxmlformats.org/spreadsheetml/2006/main">IF(20&lt;BASE_PRICES!D55,"",IF(BASE_PRICES!I55="","",ROUND(BASE_PRICES!I55*(1+DETAILS!$B$30)/DETAILS!$B$26,4)))</f>
        <v>41.496000000000002</v>
      </c>
      <c r="N55" s="32">
        <f xmlns="http://schemas.openxmlformats.org/spreadsheetml/2006/main">IF(25&lt;BASE_PRICES!D55,"",IF(BASE_PRICES!J55="","",ROUND(BASE_PRICES!J55*(1+DETAILS!$B$30)/DETAILS!$B$26,4)))</f>
        <v>39.9</v>
      </c>
      <c r="O55" s="32">
        <f xmlns="http://schemas.openxmlformats.org/spreadsheetml/2006/main">IF(30&lt;BASE_PRICES!D55,"",IF(BASE_PRICES!K55="","",ROUND(BASE_PRICES!K55*(1+DETAILS!$B$30)/DETAILS!$B$26,4)))</f>
        <v>35.643999999999998</v>
      </c>
      <c r="P55" s="32">
        <f xmlns="http://schemas.openxmlformats.org/spreadsheetml/2006/main">IF(50&lt;BASE_PRICES!D55,"",IF(BASE_PRICES!L55="","",ROUND(BASE_PRICES!L55*(1+DETAILS!$B$30)/DETAILS!$B$26,4)))</f>
        <v>30.856000000000002</v>
      </c>
      <c r="Q55" s="32" t="str">
        <f xmlns="http://schemas.openxmlformats.org/spreadsheetml/2006/main">IF(100&lt;BASE_PRICES!D55,"",IF(BASE_PRICES!M55="","",ROUND(BASE_PRICES!M55*(1+DETAILS!$B$30)/DETAILS!$B$26,4)))</f>
        <v>0</v>
      </c>
      <c r="R55" s="32" t="str">
        <f xmlns="http://schemas.openxmlformats.org/spreadsheetml/2006/main">IF(250&lt;BASE_PRICES!D55,"",IF(BASE_PRICES!N55="","",ROUND(BASE_PRICES!N55*(1+DETAILS!$B$30)/DETAILS!$B$26,4)))</f>
        <v>0</v>
      </c>
      <c r="S55" s="32" t="str">
        <f xmlns="http://schemas.openxmlformats.org/spreadsheetml/2006/main">IF(500&lt;BASE_PRICES!D55,"",IF(BASE_PRICES!O55="","",ROUND(BASE_PRICES!O55*(1+DETAILS!$B$30)/DETAILS!$B$26,4)))</f>
        <v>0</v>
      </c>
      <c r="T55" s="32" t="str">
        <f xmlns="http://schemas.openxmlformats.org/spreadsheetml/2006/main">IF(1000&lt;BASE_PRICES!D55,"",IF(BASE_PRICES!P55="","",ROUND(BASE_PRICES!P55*(1+DETAILS!$B$30)/DETAILS!$B$26,4)))</f>
        <v>0</v>
      </c>
      <c r="U55" s="23">
        <f>IF(ISNUMBER(ORDER!G56),IF(AND(ORDER!G56&gt;=I55,MOD(ORDER!G56,BASE_PRICES!E55)=0),MATCH(ORDER!G56,$J$4:$T$4,1),0),0)</f>
        <v>0</v>
      </c>
      <c r="V55" s="23" t="str">
        <f>IF(U55=0,"",IF(INDEX(BASE_PRICES!F55:P55,1,U55)="","",INDEX(BASE_PRICES!F55:P55,1,U55)))</f>
        <v/>
      </c>
      <c r="W55" s="20">
        <f>IF(ORDER!G56=0,0,IF(ISNUMBER(ORDER!H56),0,1))</f>
        <v>0</v>
      </c>
    </row>
    <row r="56" spans="1:23" ht="78" customHeight="1">
      <c r="A56" s="4" t="e" vm="52">
        <v>#VALUE!</v>
      </c>
      <c r="B56" s="1" t="str">
        <f>ORDER!B57</f>
        <v>Candle holder</v>
      </c>
      <c r="C56" s="1" t="str">
        <f>ORDER!C57</f>
        <v>Gold</v>
      </c>
      <c r="D56" s="1" t="str">
        <f>ORDER!D57</f>
        <v>1 cm</v>
      </c>
      <c r="E56" s="19"/>
      <c r="F56" s="35" t="s">
        <v>159</v>
      </c>
      <c r="G56" s="32">
        <f xmlns="http://schemas.openxmlformats.org/spreadsheetml/2006/main">ROUND(BASE_PRICES!B56*(1+DETAILS!$B$30)/DETAILS!$B$26,4)</f>
        <v>58.97</v>
      </c>
      <c r="H56" s="33">
        <f>BASE_PRICES!C56</f>
        <v>1</v>
      </c>
      <c r="I56" s="33">
        <f>BASE_PRICES!D56</f>
        <v>1</v>
      </c>
      <c r="J56" s="32">
        <f xmlns="http://schemas.openxmlformats.org/spreadsheetml/2006/main">IF(1&lt;BASE_PRICES!D56,"",IF(BASE_PRICES!F56="","",ROUND(BASE_PRICES!F56*(1+DETAILS!$B$30)/DETAILS!$B$26,4)))</f>
        <v>58.97</v>
      </c>
      <c r="K56" s="32">
        <f xmlns="http://schemas.openxmlformats.org/spreadsheetml/2006/main">IF(5&lt;BASE_PRICES!D56,"",IF(BASE_PRICES!G56="","",ROUND(BASE_PRICES!G56*(1+DETAILS!$B$30)/DETAILS!$B$26,4)))</f>
        <v>50.12</v>
      </c>
      <c r="L56" s="32">
        <f xmlns="http://schemas.openxmlformats.org/spreadsheetml/2006/main">IF(10&lt;BASE_PRICES!D56,"",IF(BASE_PRICES!H56="","",ROUND(BASE_PRICES!H56*(1+DETAILS!$B$30)/DETAILS!$B$26,4)))</f>
        <v>47.176000000000002</v>
      </c>
      <c r="M56" s="32">
        <f xmlns="http://schemas.openxmlformats.org/spreadsheetml/2006/main">IF(20&lt;BASE_PRICES!D56,"",IF(BASE_PRICES!I56="","",ROUND(BASE_PRICES!I56*(1+DETAILS!$B$30)/DETAILS!$B$26,4)))</f>
        <v>45.996600000000001</v>
      </c>
      <c r="N56" s="32">
        <f xmlns="http://schemas.openxmlformats.org/spreadsheetml/2006/main">IF(25&lt;BASE_PRICES!D56,"",IF(BASE_PRICES!J56="","",ROUND(BASE_PRICES!J56*(1+DETAILS!$B$30)/DETAILS!$B$26,4)))</f>
        <v>44.227499999999999</v>
      </c>
      <c r="O56" s="32">
        <f xmlns="http://schemas.openxmlformats.org/spreadsheetml/2006/main">IF(30&lt;BASE_PRICES!D56,"",IF(BASE_PRICES!K56="","",ROUND(BASE_PRICES!K56*(1+DETAILS!$B$30)/DETAILS!$B$26,4)))</f>
        <v>39.509900000000002</v>
      </c>
      <c r="P56" s="32">
        <f xmlns="http://schemas.openxmlformats.org/spreadsheetml/2006/main">IF(50&lt;BASE_PRICES!D56,"",IF(BASE_PRICES!L56="","",ROUND(BASE_PRICES!L56*(1+DETAILS!$B$30)/DETAILS!$B$26,4)))</f>
        <v>34.202599999999997</v>
      </c>
      <c r="Q56" s="32" t="str">
        <f xmlns="http://schemas.openxmlformats.org/spreadsheetml/2006/main">IF(100&lt;BASE_PRICES!D56,"",IF(BASE_PRICES!M56="","",ROUND(BASE_PRICES!M56*(1+DETAILS!$B$30)/DETAILS!$B$26,4)))</f>
        <v>0</v>
      </c>
      <c r="R56" s="32" t="str">
        <f xmlns="http://schemas.openxmlformats.org/spreadsheetml/2006/main">IF(250&lt;BASE_PRICES!D56,"",IF(BASE_PRICES!N56="","",ROUND(BASE_PRICES!N56*(1+DETAILS!$B$30)/DETAILS!$B$26,4)))</f>
        <v>0</v>
      </c>
      <c r="S56" s="32" t="str">
        <f xmlns="http://schemas.openxmlformats.org/spreadsheetml/2006/main">IF(500&lt;BASE_PRICES!D56,"",IF(BASE_PRICES!O56="","",ROUND(BASE_PRICES!O56*(1+DETAILS!$B$30)/DETAILS!$B$26,4)))</f>
        <v>0</v>
      </c>
      <c r="T56" s="32" t="str">
        <f xmlns="http://schemas.openxmlformats.org/spreadsheetml/2006/main">IF(1000&lt;BASE_PRICES!D56,"",IF(BASE_PRICES!P56="","",ROUND(BASE_PRICES!P56*(1+DETAILS!$B$30)/DETAILS!$B$26,4)))</f>
        <v>0</v>
      </c>
      <c r="U56" s="23">
        <f>IF(ISNUMBER(ORDER!G57),IF(AND(ORDER!G57&gt;=I56,MOD(ORDER!G57,BASE_PRICES!E56)=0),MATCH(ORDER!G57,$J$4:$T$4,1),0),0)</f>
        <v>0</v>
      </c>
      <c r="V56" s="23" t="str">
        <f>IF(U56=0,"",IF(INDEX(BASE_PRICES!F56:P56,1,U56)="","",INDEX(BASE_PRICES!F56:P56,1,U56)))</f>
        <v/>
      </c>
      <c r="W56" s="20">
        <f>IF(ORDER!G57=0,0,IF(ISNUMBER(ORDER!H57),0,1))</f>
        <v>0</v>
      </c>
    </row>
    <row r="57" spans="1:23" ht="78" customHeight="1">
      <c r="A57" s="4" t="e" vm="53">
        <v>#VALUE!</v>
      </c>
      <c r="B57" s="5" t="str">
        <f>ORDER!B58</f>
        <v>Candle holder</v>
      </c>
      <c r="C57" s="5" t="str">
        <f>ORDER!C58</f>
        <v>Gold</v>
      </c>
      <c r="D57" s="5" t="str">
        <f>ORDER!D58</f>
        <v>0.8 cm</v>
      </c>
      <c r="E57" s="18"/>
      <c r="F57" s="35" t="s">
        <v>160</v>
      </c>
      <c r="G57" s="32">
        <f xmlns="http://schemas.openxmlformats.org/spreadsheetml/2006/main">ROUND(BASE_PRICES!B57*(1+DETAILS!$B$30)/DETAILS!$B$26,4)</f>
        <v>50.97</v>
      </c>
      <c r="H57" s="33">
        <f>BASE_PRICES!C57</f>
        <v>1</v>
      </c>
      <c r="I57" s="33">
        <f>BASE_PRICES!D57</f>
        <v>1</v>
      </c>
      <c r="J57" s="32">
        <f xmlns="http://schemas.openxmlformats.org/spreadsheetml/2006/main">IF(1&lt;BASE_PRICES!D57,"",IF(BASE_PRICES!F57="","",ROUND(BASE_PRICES!F57*(1+DETAILS!$B$30)/DETAILS!$B$26,4)))</f>
        <v>50.97</v>
      </c>
      <c r="K57" s="32">
        <f xmlns="http://schemas.openxmlformats.org/spreadsheetml/2006/main">IF(5&lt;BASE_PRICES!D57,"",IF(BASE_PRICES!G57="","",ROUND(BASE_PRICES!G57*(1+DETAILS!$B$30)/DETAILS!$B$26,4)))</f>
        <v>43.3245</v>
      </c>
      <c r="L57" s="32">
        <f xmlns="http://schemas.openxmlformats.org/spreadsheetml/2006/main">IF(10&lt;BASE_PRICES!D57,"",IF(BASE_PRICES!H57="","",ROUND(BASE_PRICES!H57*(1+DETAILS!$B$30)/DETAILS!$B$26,4)))</f>
        <v>40.266300000000001</v>
      </c>
      <c r="M57" s="32">
        <f xmlns="http://schemas.openxmlformats.org/spreadsheetml/2006/main">IF(20&lt;BASE_PRICES!D57,"",IF(BASE_PRICES!I57="","",ROUND(BASE_PRICES!I57*(1+DETAILS!$B$30)/DETAILS!$B$26,4)))</f>
        <v>37.717799999999997</v>
      </c>
      <c r="N57" s="32">
        <f xmlns="http://schemas.openxmlformats.org/spreadsheetml/2006/main">IF(25&lt;BASE_PRICES!D57,"",IF(BASE_PRICES!J57="","",ROUND(BASE_PRICES!J57*(1+DETAILS!$B$30)/DETAILS!$B$26,4)))</f>
        <v>35.679000000000002</v>
      </c>
      <c r="O57" s="32">
        <f xmlns="http://schemas.openxmlformats.org/spreadsheetml/2006/main">IF(30&lt;BASE_PRICES!D57,"",IF(BASE_PRICES!K57="","",ROUND(BASE_PRICES!K57*(1+DETAILS!$B$30)/DETAILS!$B$26,4)))</f>
        <v>34.149900000000002</v>
      </c>
      <c r="P57" s="32">
        <f xmlns="http://schemas.openxmlformats.org/spreadsheetml/2006/main">IF(50&lt;BASE_PRICES!D57,"",IF(BASE_PRICES!L57="","",ROUND(BASE_PRICES!L57*(1+DETAILS!$B$30)/DETAILS!$B$26,4)))</f>
        <v>30.582000000000001</v>
      </c>
      <c r="Q57" s="32" t="str">
        <f xmlns="http://schemas.openxmlformats.org/spreadsheetml/2006/main">IF(100&lt;BASE_PRICES!D57,"",IF(BASE_PRICES!M57="","",ROUND(BASE_PRICES!M57*(1+DETAILS!$B$30)/DETAILS!$B$26,4)))</f>
        <v>0</v>
      </c>
      <c r="R57" s="32" t="str">
        <f xmlns="http://schemas.openxmlformats.org/spreadsheetml/2006/main">IF(250&lt;BASE_PRICES!D57,"",IF(BASE_PRICES!N57="","",ROUND(BASE_PRICES!N57*(1+DETAILS!$B$30)/DETAILS!$B$26,4)))</f>
        <v>0</v>
      </c>
      <c r="S57" s="32" t="str">
        <f xmlns="http://schemas.openxmlformats.org/spreadsheetml/2006/main">IF(500&lt;BASE_PRICES!D57,"",IF(BASE_PRICES!O57="","",ROUND(BASE_PRICES!O57*(1+DETAILS!$B$30)/DETAILS!$B$26,4)))</f>
        <v>0</v>
      </c>
      <c r="T57" s="32" t="str">
        <f xmlns="http://schemas.openxmlformats.org/spreadsheetml/2006/main">IF(1000&lt;BASE_PRICES!D57,"",IF(BASE_PRICES!P57="","",ROUND(BASE_PRICES!P57*(1+DETAILS!$B$30)/DETAILS!$B$26,4)))</f>
        <v>0</v>
      </c>
      <c r="U57" s="23">
        <f>IF(ISNUMBER(ORDER!G58),IF(AND(ORDER!G58&gt;=I57,MOD(ORDER!G58,BASE_PRICES!E57)=0),MATCH(ORDER!G58,$J$4:$T$4,1),0),0)</f>
        <v>0</v>
      </c>
      <c r="V57" s="23" t="str">
        <f>IF(U57=0,"",IF(INDEX(BASE_PRICES!F57:P57,1,U57)="","",INDEX(BASE_PRICES!F57:P57,1,U57)))</f>
        <v/>
      </c>
      <c r="W57" s="20">
        <f>IF(ORDER!G58=0,0,IF(ISNUMBER(ORDER!H58),0,1))</f>
        <v>0</v>
      </c>
    </row>
    <row r="58" spans="1:23" ht="23.05" customHeight="1">
      <c r="F58" s="11"/>
      <c r="G58" s="2"/>
      <c r="H58" s="2"/>
      <c r="I58" s="2"/>
      <c r="J58" s="2"/>
      <c r="K58" s="2"/>
      <c r="L58" s="2"/>
      <c r="M58" s="2"/>
      <c r="N58" s="2"/>
      <c r="O58" s="2"/>
      <c r="P58" s="2"/>
      <c r="Q58" s="2"/>
      <c r="R58" s="2"/>
      <c r="S58" s="2"/>
      <c r="T58" s="2"/>
      <c r="U58" s="2"/>
      <c r="V58" s="2"/>
    </row>
    <row r="59" spans="1:23" ht="23.05" customHeight="1">
      <c r="F59" s="11"/>
      <c r="G59" s="2"/>
      <c r="H59" s="2"/>
      <c r="I59" s="2"/>
      <c r="J59" s="2"/>
      <c r="K59" s="2"/>
      <c r="L59" s="2"/>
      <c r="M59" s="2"/>
      <c r="N59" s="2"/>
      <c r="O59" s="2"/>
      <c r="P59" s="2"/>
      <c r="Q59" s="2"/>
      <c r="R59" s="2"/>
      <c r="S59" s="2"/>
      <c r="T59" s="2"/>
      <c r="U59" s="2"/>
      <c r="V59" s="2"/>
    </row>
    <row r="60" spans="1:23" ht="23.05" customHeight="1">
      <c r="F60" s="11"/>
      <c r="G60" s="2"/>
      <c r="H60" s="2"/>
      <c r="I60" s="2"/>
      <c r="J60" s="2"/>
      <c r="K60" s="2"/>
      <c r="L60" s="2"/>
      <c r="M60" s="2"/>
      <c r="N60" s="2"/>
      <c r="O60" s="2"/>
      <c r="P60" s="2"/>
      <c r="Q60" s="2"/>
      <c r="R60" s="2"/>
      <c r="S60" s="2"/>
      <c r="T60" s="2"/>
      <c r="U60" s="2"/>
      <c r="V60" s="2"/>
    </row>
    <row r="61" spans="1:23" ht="23.05" customHeight="1">
      <c r="F61" s="11"/>
      <c r="G61" s="2"/>
      <c r="H61" s="2"/>
      <c r="I61" s="2"/>
      <c r="J61" s="2"/>
      <c r="K61" s="2"/>
      <c r="L61" s="2"/>
      <c r="M61" s="2"/>
      <c r="N61" s="2"/>
      <c r="O61" s="2"/>
      <c r="P61" s="2"/>
      <c r="Q61" s="2"/>
      <c r="R61" s="2"/>
      <c r="S61" s="2"/>
      <c r="T61" s="2"/>
      <c r="U61" s="2"/>
      <c r="V61" s="2"/>
    </row>
    <row r="62" spans="1:23" ht="23.05" customHeight="1">
      <c r="F62" s="11"/>
      <c r="G62" s="2"/>
      <c r="H62" s="2"/>
      <c r="I62" s="2"/>
      <c r="J62" s="2"/>
      <c r="K62" s="2"/>
      <c r="L62" s="2"/>
      <c r="M62" s="2"/>
      <c r="N62" s="2"/>
      <c r="O62" s="2"/>
      <c r="P62" s="2"/>
      <c r="Q62" s="2"/>
      <c r="R62" s="2"/>
      <c r="S62" s="2"/>
      <c r="T62" s="2"/>
      <c r="U62" s="2"/>
      <c r="V62" s="2"/>
    </row>
  </sheetData>
  <mergeCells count="2">
    <mergeCell ref="A1:T1"/>
    <mergeCell ref="A2:T2"/>
  </mergeCells>
  <pageMargins left="0.7" right="0.7" top="0.75" bottom="0.75"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64D42"/>
  </sheetPr>
  <dimension ref="A1:F61"/>
  <sheetViews>
    <sheetView showGridLines="0" zoomScale="50" zoomScaleNormal="50" workbookViewId="0">
      <pane ySplit="4" topLeftCell="A5" activePane="bottomLeft" state="frozen"/>
      <selection pane="bottomLeft" activeCell="K56" sqref="K56"/>
    </sheetView>
  </sheetViews>
  <sheetFormatPr defaultRowHeight="12.45"/>
  <cols>
    <col min="1" max="1" width="15" customWidth="1"/>
    <col min="2" max="2" width="32" customWidth="1"/>
    <col min="3" max="3" width="43" customWidth="1"/>
    <col min="4" max="4" width="37" customWidth="1"/>
    <col min="5" max="5" width="35" customWidth="1"/>
    <col min="6" max="6" width="14" customWidth="1"/>
  </cols>
  <sheetData>
    <row r="1" spans="1:6" ht="26.05" customHeight="1">
      <c r="A1" s="77" t="str">
        <f>CHOOSE(DETAILS!$B$2,"Karty produktów","Product cards","Produktkarten","Fiches produits","Fichas de producto","Schede prodotto","Produktové karty","Produktové karty")</f>
        <v>Product cards</v>
      </c>
      <c r="B1" s="78"/>
      <c r="C1" s="78"/>
      <c r="D1" s="78"/>
      <c r="E1" s="78"/>
      <c r="F1" s="78"/>
    </row>
    <row r="2" spans="1:6" ht="36" customHeight="1">
      <c r="A2" s="79" t="str">
        <f>CHOOSE(DETAILS!$B$2,"Opis do wykorzystania w sklepie. Pełne zdjęcia i opinie: linki Allegro w ORDER.","Descriptions for your shop. Full photos and reviews: Allegro links in ORDER.","Beschreibungen für Ihr Geschäft. Weitere Fotos und Bewertungen: Allegro-Links in ORDER.","Descriptions pour votre boutique. Photos et avis : liens Allegro dans ORDER.","Descripciones para su tienda. Fotos y reseñas: enlaces de Allegro en ORDER.","Descrizioni per il vostro negozio. Foto e recensioni: link Allegro in ORDER.","Popisy pro váš obchod. Další fotografie a recenze: odkazy Allegro v ORDER.","Popisy pre váš obchod. Ďalšie fotografie a recenzie: odkazy Allegro v ORDER.")</f>
        <v>Descriptions for your shop. Full photos and reviews: Allegro links in ORDER.</v>
      </c>
      <c r="B2" s="78"/>
      <c r="C2" s="78"/>
      <c r="D2" s="78"/>
      <c r="E2" s="78"/>
      <c r="F2" s="78"/>
    </row>
    <row r="3" spans="1:6">
      <c r="A3" s="9"/>
      <c r="B3" s="9"/>
      <c r="C3" s="9"/>
      <c r="D3" s="9"/>
      <c r="E3" s="9"/>
      <c r="F3" s="9" t="str">
        <f>ORDER!B2</f>
        <v>English</v>
      </c>
    </row>
    <row r="4" spans="1:6" ht="40" customHeight="1">
      <c r="A4" s="34" t="str">
        <f>CHOOSE(DETAILS!$B$2,"Zdjęcie","Photo","Foto","Photo","Foto","Foto","Fotografie","Fotografia")</f>
        <v>Photo</v>
      </c>
      <c r="B4" s="34" t="str">
        <f>CHOOSE(DETAILS!$B$2,"Produkt / wariant","Product / variant","Produkt / Variante","Produit / variante","Producto / variante","Prodotto / variante","Produkt / varianta","Produkt / variant")</f>
        <v>Product / variant</v>
      </c>
      <c r="C4" s="34" t="str">
        <f>CHOOSE(DETAILS!$B$2,"Opis / przeznaczenie","Description / intended use","Beschreibung / Verwendung","Description / usage prévu","Descripción / uso previsto","Descrizione / uso previsto","Popis / určené použití","Popis / určené použitie")</f>
        <v>Description / intended use</v>
      </c>
      <c r="D4" s="34" t="str">
        <f>CHOOSE(DETAILS!$B$2,"Skład ogólny","General composition","Allgemeine Zusammensetzung","Composition générale","Composición general","Composizione generale","Obecné složení","Všeobecné zloženie")</f>
        <v>General composition</v>
      </c>
      <c r="E4" s="34" t="str">
        <f>CHOOSE(DETAILS!$B$2,"Pakowanie","Packaging","Verpackung","Conditionnement","Embalaje","Confezionamento","Balení","Balenie")</f>
        <v>Packaging</v>
      </c>
      <c r="F4" s="34" t="str">
        <f>CHOOSE(DETAILS!$B$2,"Sposób użycia","How to use","Anwendung","Utilisation","Modo de uso","Istruzioni d’uso","Návod k použití","Návod na použitie")</f>
        <v>How to use</v>
      </c>
    </row>
    <row r="5" spans="1:6" ht="138" customHeight="1">
      <c r="A5" s="4" t="e" vm="1">
        <v>#VALUE!</v>
      </c>
      <c r="B5" s="48" t="str">
        <f>ORDER!B6&amp;CHAR(10)&amp;ORDER!C6&amp;"  "&amp;ORDER!D6&amp;CHAR(10)&amp;"EAN: "&amp;PRICES!F5</f>
        <v>Coloured beeswax candle
White  130 × 10 mm
EAN: 5902138542870</v>
      </c>
      <c r="C5"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5" s="48" t="str">
        <f>CHOOSE(DETAILS!$B$2,"Naturalny wosk pszczeli, knot.","Natural beeswax, wick.","Natürliches Bienenwachs, Docht.","Cire d’abeille naturelle, mèche.","Cera de abeja natural, mecha.","Cera d’api naturale, stoppino.","Přírodní včelí vosk, knot.","Prírodný včelí vosk, knôt.")</f>
        <v>Natural beeswax, wick.</v>
      </c>
      <c r="E5"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 s="49" t="str">
        <f>CHOOSE(DETAILS!$B$2,"Sposób użycia","How to use","Anwendung","Utilisation","Modo de uso","Istruzioni d’uso","Návod k použití","Návod na použitie")</f>
        <v>How to use</v>
      </c>
    </row>
    <row r="6" spans="1:6" ht="138" customHeight="1">
      <c r="A6" s="4" t="e" vm="2">
        <v>#VALUE!</v>
      </c>
      <c r="B6" s="43" t="str">
        <f>ORDER!B7&amp;CHAR(10)&amp;ORDER!C7&amp;"  "&amp;ORDER!D7&amp;CHAR(10)&amp;"EAN: "&amp;PRICES!F6</f>
        <v>Coloured beeswax candle
Light blue  130 × 10 mm
EAN: 5902138542887</v>
      </c>
      <c r="C6" s="43"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6" s="43" t="str">
        <f>CHOOSE(DETAILS!$B$2,"Naturalny wosk pszczeli, knot.","Natural beeswax, wick.","Natürliches Bienenwachs, Docht.","Cire d’abeille naturelle, mèche.","Cera de abeja natural, mecha.","Cera d’api naturale, stoppino.","Přírodní včelí vosk, knot.","Prírodný včelí vosk, knôt.")</f>
        <v>Natural beeswax, wick.</v>
      </c>
      <c r="E6"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6" s="50" t="str">
        <f>CHOOSE(DETAILS!$B$2,"Sposób użycia","How to use","Anwendung","Utilisation","Modo de uso","Istruzioni d’uso","Návod k použití","Návod na použitie")</f>
        <v>How to use</v>
      </c>
    </row>
    <row r="7" spans="1:6" ht="138" customHeight="1">
      <c r="A7" s="4" t="e" vm="3">
        <v>#VALUE!</v>
      </c>
      <c r="B7" s="48" t="str">
        <f>ORDER!B8&amp;CHAR(10)&amp;ORDER!C8&amp;"  "&amp;ORDER!D8&amp;CHAR(10)&amp;"EAN: "&amp;PRICES!F7</f>
        <v>Coloured beeswax candle
Natural yellow  130 × 10 mm
EAN: 5902138542856</v>
      </c>
      <c r="C7"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7" s="48" t="str">
        <f>CHOOSE(DETAILS!$B$2,"Naturalny wosk pszczeli, knot.","Natural beeswax, wick.","Natürliches Bienenwachs, Docht.","Cire d’abeille naturelle, mèche.","Cera de abeja natural, mecha.","Cera d’api naturale, stoppino.","Přírodní včelí vosk, knot.","Prírodný včelí vosk, knôt.")</f>
        <v>Natural beeswax, wick.</v>
      </c>
      <c r="E7"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7" s="49" t="str">
        <f>CHOOSE(DETAILS!$B$2,"Sposób użycia","How to use","Anwendung","Utilisation","Modo de uso","Istruzioni d’uso","Návod k použití","Návod na použitie")</f>
        <v>How to use</v>
      </c>
    </row>
    <row r="8" spans="1:6" ht="138" customHeight="1">
      <c r="A8" s="4" t="e" vm="4">
        <v>#VALUE!</v>
      </c>
      <c r="B8" s="43" t="str">
        <f>ORDER!B9&amp;CHAR(10)&amp;ORDER!C9&amp;"  "&amp;ORDER!D9&amp;CHAR(10)&amp;"EAN: "&amp;PRICES!F8</f>
        <v>Coloured beeswax candle
Green  130 × 10 mm
EAN: 5902138542849</v>
      </c>
      <c r="C8" s="43"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8" s="43" t="str">
        <f>CHOOSE(DETAILS!$B$2,"Naturalny wosk pszczeli, knot.","Natural beeswax, wick.","Natürliches Bienenwachs, Docht.","Cire d’abeille naturelle, mèche.","Cera de abeja natural, mecha.","Cera d’api naturale, stoppino.","Přírodní včelí vosk, knot.","Prírodný včelí vosk, knôt.")</f>
        <v>Natural beeswax, wick.</v>
      </c>
      <c r="E8"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8" s="50" t="str">
        <f>CHOOSE(DETAILS!$B$2,"Sposób użycia","How to use","Anwendung","Utilisation","Modo de uso","Istruzioni d’uso","Návod k použití","Návod na použitie")</f>
        <v>How to use</v>
      </c>
    </row>
    <row r="9" spans="1:6" ht="138" customHeight="1">
      <c r="A9" s="4" t="e" vm="5">
        <v>#VALUE!</v>
      </c>
      <c r="B9" s="48" t="str">
        <f>ORDER!B10&amp;CHAR(10)&amp;ORDER!C10&amp;"  "&amp;ORDER!D10&amp;CHAR(10)&amp;"EAN: "&amp;PRICES!F9</f>
        <v>Coloured beeswax candle
Gold  130 × 10 mm
EAN: 5902138542818</v>
      </c>
      <c r="C9"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9" s="48" t="str">
        <f>CHOOSE(DETAILS!$B$2,"Naturalny wosk pszczeli, knot.","Natural beeswax, wick.","Natürliches Bienenwachs, Docht.","Cire d’abeille naturelle, mèche.","Cera de abeja natural, mecha.","Cera d’api naturale, stoppino.","Přírodní včelí vosk, knot.","Prírodný včelí vosk, knôt.")</f>
        <v>Natural beeswax, wick.</v>
      </c>
      <c r="E9"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9" s="49" t="str">
        <f>CHOOSE(DETAILS!$B$2,"Sposób użycia","How to use","Anwendung","Utilisation","Modo de uso","Istruzioni d’uso","Návod k použití","Návod na použitie")</f>
        <v>How to use</v>
      </c>
    </row>
    <row r="10" spans="1:6" ht="138" customHeight="1">
      <c r="A10" s="4" t="e" vm="6">
        <v>#VALUE!</v>
      </c>
      <c r="B10" s="43" t="str">
        <f>ORDER!B11&amp;CHAR(10)&amp;ORDER!C11&amp;"  "&amp;ORDER!D11&amp;CHAR(10)&amp;"EAN: "&amp;PRICES!F10</f>
        <v>Coloured beeswax candle
Brown  130 × 10 mm
EAN: 5903716470011</v>
      </c>
      <c r="C10" s="43"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0" s="43" t="str">
        <f>CHOOSE(DETAILS!$B$2,"Naturalny wosk pszczeli, knot.","Natural beeswax, wick.","Natürliches Bienenwachs, Docht.","Cire d’abeille naturelle, mèche.","Cera de abeja natural, mecha.","Cera d’api naturale, stoppino.","Přírodní včelí vosk, knot.","Prírodný včelí vosk, knôt.")</f>
        <v>Natural beeswax, wick.</v>
      </c>
      <c r="E10"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0" s="50" t="str">
        <f>CHOOSE(DETAILS!$B$2,"Sposób użycia","How to use","Anwendung","Utilisation","Modo de uso","Istruzioni d’uso","Návod k použití","Návod na použitie")</f>
        <v>How to use</v>
      </c>
    </row>
    <row r="11" spans="1:6" ht="138" customHeight="1">
      <c r="A11" s="4" t="e" vm="7">
        <v>#VALUE!</v>
      </c>
      <c r="B11" s="48" t="str">
        <f>ORDER!B12&amp;CHAR(10)&amp;ORDER!C12&amp;"  "&amp;ORDER!D12&amp;CHAR(10)&amp;"EAN: "&amp;PRICES!F11</f>
        <v>Coloured beeswax candle
Orange  130 × 10 mm
EAN: 5902138542863</v>
      </c>
      <c r="C11"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1" s="48" t="str">
        <f>CHOOSE(DETAILS!$B$2,"Naturalny wosk pszczeli, knot.","Natural beeswax, wick.","Natürliches Bienenwachs, Docht.","Cire d’abeille naturelle, mèche.","Cera de abeja natural, mecha.","Cera d’api naturale, stoppino.","Přírodní včelí vosk, knot.","Prírodný včelí vosk, knôt.")</f>
        <v>Natural beeswax, wick.</v>
      </c>
      <c r="E11"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1" s="49" t="str">
        <f>CHOOSE(DETAILS!$B$2,"Sposób użycia","How to use","Anwendung","Utilisation","Modo de uso","Istruzioni d’uso","Návod k použití","Návod na použitie")</f>
        <v>How to use</v>
      </c>
    </row>
    <row r="12" spans="1:6" ht="138" customHeight="1">
      <c r="A12" s="4" t="e" vm="8">
        <v>#VALUE!</v>
      </c>
      <c r="B12" s="43" t="str">
        <f>ORDER!B13&amp;CHAR(10)&amp;ORDER!C13&amp;"  "&amp;ORDER!D13&amp;CHAR(10)&amp;"EAN: "&amp;PRICES!F12</f>
        <v>Coloured beeswax candle
Pink  130 × 10 mm
EAN: 5902138542825</v>
      </c>
      <c r="C12" s="43"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2" s="43" t="str">
        <f>CHOOSE(DETAILS!$B$2,"Naturalny wosk pszczeli, knot.","Natural beeswax, wick.","Natürliches Bienenwachs, Docht.","Cire d’abeille naturelle, mèche.","Cera de abeja natural, mecha.","Cera d’api naturale, stoppino.","Přírodní včelí vosk, knot.","Prírodný včelí vosk, knôt.")</f>
        <v>Natural beeswax, wick.</v>
      </c>
      <c r="E12"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2" s="50" t="str">
        <f>CHOOSE(DETAILS!$B$2,"Sposób użycia","How to use","Anwendung","Utilisation","Modo de uso","Istruzioni d’uso","Návod k použití","Návod na použitie")</f>
        <v>How to use</v>
      </c>
    </row>
    <row r="13" spans="1:6" ht="138" customHeight="1">
      <c r="A13" s="4" t="e" vm="9">
        <v>#VALUE!</v>
      </c>
      <c r="B13" s="48" t="str">
        <f>ORDER!B14&amp;CHAR(10)&amp;ORDER!C14&amp;"  "&amp;ORDER!D14&amp;CHAR(10)&amp;"EAN: "&amp;PRICES!F13</f>
        <v>Coloured beeswax candle
Blue  130 × 10 mm
EAN: 5902138542832</v>
      </c>
      <c r="C13"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3" s="48" t="str">
        <f>CHOOSE(DETAILS!$B$2,"Naturalny wosk pszczeli, knot.","Natural beeswax, wick.","Natürliches Bienenwachs, Docht.","Cire d’abeille naturelle, mèche.","Cera de abeja natural, mecha.","Cera d’api naturale, stoppino.","Přírodní včelí vosk, knot.","Prírodný včelí vosk, knôt.")</f>
        <v>Natural beeswax, wick.</v>
      </c>
      <c r="E13"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3" s="49" t="str">
        <f>CHOOSE(DETAILS!$B$2,"Sposób użycia","How to use","Anwendung","Utilisation","Modo de uso","Istruzioni d’uso","Návod k použití","Návod na použitie")</f>
        <v>How to use</v>
      </c>
    </row>
    <row r="14" spans="1:6" ht="138" customHeight="1">
      <c r="A14" s="4" t="e" vm="10">
        <v>#VALUE!</v>
      </c>
      <c r="B14" s="43" t="str">
        <f>ORDER!B15&amp;CHAR(10)&amp;ORDER!C15&amp;"  "&amp;ORDER!D15&amp;CHAR(10)&amp;"EAN: "&amp;PRICES!F14</f>
        <v>Coloured beeswax candle
Silver  130 × 10 mm
EAN: 5903716470004</v>
      </c>
      <c r="C14" s="43"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4" s="43" t="str">
        <f>CHOOSE(DETAILS!$B$2,"Naturalny wosk pszczeli, knot.","Natural beeswax, wick.","Natürliches Bienenwachs, Docht.","Cire d’abeille naturelle, mèche.","Cera de abeja natural, mecha.","Cera d’api naturale, stoppino.","Přírodní včelí vosk, knot.","Prírodný včelí vosk, knôt.")</f>
        <v>Natural beeswax, wick.</v>
      </c>
      <c r="E14"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4" s="50" t="str">
        <f>CHOOSE(DETAILS!$B$2,"Sposób użycia","How to use","Anwendung","Utilisation","Modo de uso","Istruzioni d’uso","Návod k použití","Návod na použitie")</f>
        <v>How to use</v>
      </c>
    </row>
    <row r="15" spans="1:6" ht="138" customHeight="1">
      <c r="A15" s="4" t="e" vm="11">
        <v>#VALUE!</v>
      </c>
      <c r="B15" s="48" t="str">
        <f>ORDER!B16&amp;CHAR(10)&amp;ORDER!C16&amp;"  "&amp;ORDER!D16&amp;CHAR(10)&amp;"EAN: "&amp;PRICES!F15</f>
        <v>Coloured beeswax candle
Purple  130 × 10 mm
EAN: 5903716470028</v>
      </c>
      <c r="C15"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5" s="48" t="str">
        <f>CHOOSE(DETAILS!$B$2,"Naturalny wosk pszczeli, knot.","Natural beeswax, wick.","Natürliches Bienenwachs, Docht.","Cire d’abeille naturelle, mèche.","Cera de abeja natural, mecha.","Cera d’api naturale, stoppino.","Přírodní včelí vosk, knot.","Prírodný včelí vosk, knôt.")</f>
        <v>Natural beeswax, wick.</v>
      </c>
      <c r="E15"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5" s="49" t="str">
        <f>CHOOSE(DETAILS!$B$2,"Sposób użycia","How to use","Anwendung","Utilisation","Modo de uso","Istruzioni d’uso","Návod k použití","Návod na použitie")</f>
        <v>How to use</v>
      </c>
    </row>
    <row r="16" spans="1:6" ht="138" customHeight="1">
      <c r="A16" s="4" t="e" vm="12">
        <v>#VALUE!</v>
      </c>
      <c r="B16" s="43" t="str">
        <f>ORDER!B17&amp;CHAR(10)&amp;ORDER!C17&amp;"  "&amp;ORDER!D17&amp;CHAR(10)&amp;"EAN: "&amp;PRICES!F16</f>
        <v>Coloured beeswax candle
Red  130 × 10 mm
EAN: 5902138542894</v>
      </c>
      <c r="C16" s="43"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6" s="43" t="str">
        <f>CHOOSE(DETAILS!$B$2,"Naturalny wosk pszczeli, knot.","Natural beeswax, wick.","Natürliches Bienenwachs, Docht.","Cire d’abeille naturelle, mèche.","Cera de abeja natural, mecha.","Cera d’api naturale, stoppino.","Přírodní včelí vosk, knot.","Prírodný včelí vosk, knôt.")</f>
        <v>Natural beeswax, wick.</v>
      </c>
      <c r="E16"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6" s="50" t="str">
        <f>CHOOSE(DETAILS!$B$2,"Sposób użycia","How to use","Anwendung","Utilisation","Modo de uso","Istruzioni d’uso","Návod k použití","Návod na použitie")</f>
        <v>How to use</v>
      </c>
    </row>
    <row r="17" spans="1:6" ht="138" customHeight="1">
      <c r="A17" s="4" t="e" vm="13">
        <v>#VALUE!</v>
      </c>
      <c r="B17" s="48" t="str">
        <f>ORDER!B18&amp;CHAR(10)&amp;ORDER!C18&amp;"  "&amp;ORDER!D18&amp;CHAR(10)&amp;"EAN: "&amp;PRICES!F17</f>
        <v>Coloured beeswax candle
Black  130 × 10 mm
EAN: 5902138542801</v>
      </c>
      <c r="C17" s="48" t="str">
        <f>CHOOSE(DETAILS!$B$2,"Ręcznie wykonana kolorowa świeca z wosku pszczelego do praktyk intencyjnych. Kolor i rozmiar podano przy produkcie.","Handmade coloured beeswax candle for intention practices. Colour and size are shown with the product.","Handgefertigte farbige Bienenwachskerze für Intentionen. Farbe und Größe sind beim Produkt angegeben.","Bougie colorée artisanale en cire d’abeille pour les pratiques d’intention. Couleur et dimensions indiquées avec le produit.","Vela artesanal de cera de abeja de color para prácticas de intención. Color y dimensiones junto al producto.","Candela colorata in cera d’api, realizzata a mano per pratiche d’intenzione. Colore e dimensioni sono indicati accanto al prodotto.","Ručně vyráběná barevná svíčka ze včelího vosku pro práci se záměrem. Barva a rozměry jsou uvedeny u produktu.","Ručne vyrábaná farebná sviečka zo včelieho vosku na prácu so zámerom. Farba a rozmery sú uvedené pri produkte.")</f>
        <v>Handmade coloured beeswax candle for intention practices. Colour and size are shown with the product.</v>
      </c>
      <c r="D17" s="48" t="str">
        <f>CHOOSE(DETAILS!$B$2,"Naturalny wosk pszczeli, knot.","Natural beeswax, wick.","Natürliches Bienenwachs, Docht.","Cire d’abeille naturelle, mèche.","Cera de abeja natural, mecha.","Cera d’api naturale, stoppino.","Přírodní včelí vosk, knot.","Prírodný včelí vosk, knôt.")</f>
        <v>Natural beeswax, wick.</v>
      </c>
      <c r="E17"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17" s="49" t="str">
        <f>CHOOSE(DETAILS!$B$2,"Sposób użycia","How to use","Anwendung","Utilisation","Modo de uso","Istruzioni d’uso","Návod k použití","Návod na použitie")</f>
        <v>How to use</v>
      </c>
    </row>
    <row r="18" spans="1:6" ht="138" customHeight="1">
      <c r="A18" s="4" t="e" vm="14">
        <v>#VALUE!</v>
      </c>
      <c r="B18" s="43" t="str">
        <f>ORDER!B19&amp;CHAR(10)&amp;ORDER!C19&amp;"  "&amp;ORDER!D19&amp;CHAR(10)&amp;"EAN: "&amp;PRICES!F18</f>
        <v>Thin beeswax candle
White  260 × 6 mm
EAN: 5903716470431</v>
      </c>
      <c r="C18" s="43"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18" s="43" t="str">
        <f>CHOOSE(DETAILS!$B$2,"Naturalny wosk pszczeli, knot.","Natural beeswax, wick.","Natürliches Bienenwachs, Docht.","Cire d’abeille naturelle, mèche.","Cera de abeja natural, mecha.","Cera d’api naturale, stoppino.","Přírodní včelí vosk, knot.","Prírodný včelí vosk, knôt.")</f>
        <v>Natural beeswax, wick.</v>
      </c>
      <c r="E18" s="43"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18" s="50" t="str">
        <f>CHOOSE(DETAILS!$B$2,"Sposób użycia","How to use","Anwendung","Utilisation","Modo de uso","Istruzioni d’uso","Návod k použití","Návod na použitie")</f>
        <v>How to use</v>
      </c>
    </row>
    <row r="19" spans="1:6" ht="138" customHeight="1">
      <c r="A19" s="4" t="e" vm="15">
        <v>#VALUE!</v>
      </c>
      <c r="B19" s="48" t="str">
        <f>ORDER!B20&amp;CHAR(10)&amp;ORDER!C20&amp;"  "&amp;ORDER!D20&amp;CHAR(10)&amp;"EAN: "&amp;PRICES!F19</f>
        <v>Thin beeswax candle
Light blue  260 × 6 mm
EAN: 5903716470400</v>
      </c>
      <c r="C19" s="48"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19" s="48" t="str">
        <f>CHOOSE(DETAILS!$B$2,"Naturalny wosk pszczeli, knot.","Natural beeswax, wick.","Natürliches Bienenwachs, Docht.","Cire d’abeille naturelle, mèche.","Cera de abeja natural, mecha.","Cera d’api naturale, stoppino.","Přírodní včelí vosk, knot.","Prírodný včelí vosk, knôt.")</f>
        <v>Natural beeswax, wick.</v>
      </c>
      <c r="E19" s="48"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19" s="49" t="str">
        <f>CHOOSE(DETAILS!$B$2,"Sposób użycia","How to use","Anwendung","Utilisation","Modo de uso","Istruzioni d’uso","Návod k použití","Návod na použitie")</f>
        <v>How to use</v>
      </c>
    </row>
    <row r="20" spans="1:6" ht="138" customHeight="1">
      <c r="A20" s="4" t="e" vm="16">
        <v>#VALUE!</v>
      </c>
      <c r="B20" s="43" t="str">
        <f>ORDER!B21&amp;CHAR(10)&amp;ORDER!C21&amp;"  "&amp;ORDER!D21&amp;CHAR(10)&amp;"EAN: "&amp;PRICES!F20</f>
        <v>Thin beeswax candle
Green  260 × 6 mm
EAN: 5903716470394</v>
      </c>
      <c r="C20" s="43"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0" s="43" t="str">
        <f>CHOOSE(DETAILS!$B$2,"Naturalny wosk pszczeli, knot.","Natural beeswax, wick.","Natürliches Bienenwachs, Docht.","Cire d’abeille naturelle, mèche.","Cera de abeja natural, mecha.","Cera d’api naturale, stoppino.","Přírodní včelí vosk, knot.","Prírodný včelí vosk, knôt.")</f>
        <v>Natural beeswax, wick.</v>
      </c>
      <c r="E20" s="43"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0" s="50" t="str">
        <f>CHOOSE(DETAILS!$B$2,"Sposób użycia","How to use","Anwendung","Utilisation","Modo de uso","Istruzioni d’uso","Návod k použití","Návod na použitie")</f>
        <v>How to use</v>
      </c>
    </row>
    <row r="21" spans="1:6" ht="138" customHeight="1">
      <c r="A21" s="4" t="e" vm="17">
        <v>#VALUE!</v>
      </c>
      <c r="B21" s="48" t="str">
        <f>ORDER!B22&amp;CHAR(10)&amp;ORDER!C22&amp;"  "&amp;ORDER!D22&amp;CHAR(10)&amp;"EAN: "&amp;PRICES!F21</f>
        <v>Thin beeswax candle
Brown  260 × 6 mm
EAN: 5903716470462</v>
      </c>
      <c r="C21" s="48"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1" s="48" t="str">
        <f>CHOOSE(DETAILS!$B$2,"Naturalny wosk pszczeli, knot.","Natural beeswax, wick.","Natürliches Bienenwachs, Docht.","Cire d’abeille naturelle, mèche.","Cera de abeja natural, mecha.","Cera d’api naturale, stoppino.","Přírodní včelí vosk, knot.","Prírodný včelí vosk, knôt.")</f>
        <v>Natural beeswax, wick.</v>
      </c>
      <c r="E21" s="48"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1" s="49" t="str">
        <f>CHOOSE(DETAILS!$B$2,"Sposób użycia","How to use","Anwendung","Utilisation","Modo de uso","Istruzioni d’uso","Návod k použití","Návod na použitie")</f>
        <v>How to use</v>
      </c>
    </row>
    <row r="22" spans="1:6" ht="138" customHeight="1">
      <c r="A22" s="4" t="e" vm="18">
        <v>#VALUE!</v>
      </c>
      <c r="B22" s="43" t="str">
        <f>ORDER!B23&amp;CHAR(10)&amp;ORDER!C23&amp;"  "&amp;ORDER!D23&amp;CHAR(10)&amp;"EAN: "&amp;PRICES!F22</f>
        <v>Thin beeswax candle
Natural  260 × 6 mm
EAN: 5903716470387</v>
      </c>
      <c r="C22" s="43"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2" s="43" t="str">
        <f>CHOOSE(DETAILS!$B$2,"Naturalny wosk pszczeli, knot.","Natural beeswax, wick.","Natürliches Bienenwachs, Docht.","Cire d’abeille naturelle, mèche.","Cera de abeja natural, mecha.","Cera d’api naturale, stoppino.","Přírodní včelí vosk, knot.","Prírodný včelí vosk, knôt.")</f>
        <v>Natural beeswax, wick.</v>
      </c>
      <c r="E22" s="43"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2" s="50" t="str">
        <f>CHOOSE(DETAILS!$B$2,"Sposób użycia","How to use","Anwendung","Utilisation","Modo de uso","Istruzioni d’uso","Návod k použití","Návod na použitie")</f>
        <v>How to use</v>
      </c>
    </row>
    <row r="23" spans="1:6" ht="138" customHeight="1">
      <c r="A23" s="4" t="e" vm="19">
        <v>#VALUE!</v>
      </c>
      <c r="B23" s="48" t="str">
        <f>ORDER!B24&amp;CHAR(10)&amp;ORDER!C24&amp;"  "&amp;ORDER!D24&amp;CHAR(10)&amp;"EAN: "&amp;PRICES!F23</f>
        <v>Thin beeswax candle
Orange  260 × 6 mm
EAN: 5903716470370</v>
      </c>
      <c r="C23" s="48"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3" s="48" t="str">
        <f>CHOOSE(DETAILS!$B$2,"Naturalny wosk pszczeli, knot.","Natural beeswax, wick.","Natürliches Bienenwachs, Docht.","Cire d’abeille naturelle, mèche.","Cera de abeja natural, mecha.","Cera d’api naturale, stoppino.","Přírodní včelí vosk, knot.","Prírodný včelí vosk, knôt.")</f>
        <v>Natural beeswax, wick.</v>
      </c>
      <c r="E23" s="48"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3" s="49" t="str">
        <f>CHOOSE(DETAILS!$B$2,"Sposób użycia","How to use","Anwendung","Utilisation","Modo de uso","Istruzioni d’uso","Návod k použití","Návod na použitie")</f>
        <v>How to use</v>
      </c>
    </row>
    <row r="24" spans="1:6" ht="138" customHeight="1">
      <c r="A24" s="4" t="e" vm="20">
        <v>#VALUE!</v>
      </c>
      <c r="B24" s="43" t="str">
        <f>ORDER!B25&amp;CHAR(10)&amp;ORDER!C25&amp;"  "&amp;ORDER!D25&amp;CHAR(10)&amp;"EAN: "&amp;PRICES!F24</f>
        <v>Thin beeswax candle
Pink  260 × 6 mm
EAN: 5903716470455</v>
      </c>
      <c r="C24" s="43"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4" s="43" t="str">
        <f>CHOOSE(DETAILS!$B$2,"Naturalny wosk pszczeli, knot.","Natural beeswax, wick.","Natürliches Bienenwachs, Docht.","Cire d’abeille naturelle, mèche.","Cera de abeja natural, mecha.","Cera d’api naturale, stoppino.","Přírodní včelí vosk, knot.","Prírodný včelí vosk, knôt.")</f>
        <v>Natural beeswax, wick.</v>
      </c>
      <c r="E24" s="43"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4" s="50" t="str">
        <f>CHOOSE(DETAILS!$B$2,"Sposób użycia","How to use","Anwendung","Utilisation","Modo de uso","Istruzioni d’uso","Návod k použití","Návod na použitie")</f>
        <v>How to use</v>
      </c>
    </row>
    <row r="25" spans="1:6" ht="138" customHeight="1">
      <c r="A25" s="4" t="e" vm="21">
        <v>#VALUE!</v>
      </c>
      <c r="B25" s="48" t="str">
        <f>ORDER!B26&amp;CHAR(10)&amp;ORDER!C26&amp;"  "&amp;ORDER!D26&amp;CHAR(10)&amp;"EAN: "&amp;PRICES!F25</f>
        <v>Thin beeswax candle
Blue  260 × 6 mm
EAN: 5903716470417</v>
      </c>
      <c r="C25" s="48"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5" s="48" t="str">
        <f>CHOOSE(DETAILS!$B$2,"Naturalny wosk pszczeli, knot.","Natural beeswax, wick.","Natürliches Bienenwachs, Docht.","Cire d’abeille naturelle, mèche.","Cera de abeja natural, mecha.","Cera d’api naturale, stoppino.","Přírodní včelí vosk, knot.","Prírodný včelí vosk, knôt.")</f>
        <v>Natural beeswax, wick.</v>
      </c>
      <c r="E25" s="48"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5" s="49" t="str">
        <f>CHOOSE(DETAILS!$B$2,"Sposób użycia","How to use","Anwendung","Utilisation","Modo de uso","Istruzioni d’uso","Návod k použití","Návod na použitie")</f>
        <v>How to use</v>
      </c>
    </row>
    <row r="26" spans="1:6" ht="138" customHeight="1">
      <c r="A26" s="4" t="e" vm="22">
        <v>#VALUE!</v>
      </c>
      <c r="B26" s="43" t="str">
        <f>ORDER!B27&amp;CHAR(10)&amp;ORDER!C27&amp;"  "&amp;ORDER!D27&amp;CHAR(10)&amp;"EAN: "&amp;PRICES!F26</f>
        <v>Thin beeswax candle
Purple  260 × 6 mm
EAN: 5903716470424</v>
      </c>
      <c r="C26" s="43"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6" s="43" t="str">
        <f>CHOOSE(DETAILS!$B$2,"Naturalny wosk pszczeli, knot.","Natural beeswax, wick.","Natürliches Bienenwachs, Docht.","Cire d’abeille naturelle, mèche.","Cera de abeja natural, mecha.","Cera d’api naturale, stoppino.","Přírodní včelí vosk, knot.","Prírodný včelí vosk, knôt.")</f>
        <v>Natural beeswax, wick.</v>
      </c>
      <c r="E26" s="43"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6" s="50" t="str">
        <f>CHOOSE(DETAILS!$B$2,"Sposób użycia","How to use","Anwendung","Utilisation","Modo de uso","Istruzioni d’uso","Návod k použití","Návod na použitie")</f>
        <v>How to use</v>
      </c>
    </row>
    <row r="27" spans="1:6" ht="138" customHeight="1">
      <c r="A27" s="4" t="e" vm="23">
        <v>#VALUE!</v>
      </c>
      <c r="B27" s="48" t="str">
        <f>ORDER!B28&amp;CHAR(10)&amp;ORDER!C28&amp;"  "&amp;ORDER!D28&amp;CHAR(10)&amp;"EAN: "&amp;PRICES!F27</f>
        <v>Thin beeswax candle
Red  260 × 6 mm
EAN: 5903716470363</v>
      </c>
      <c r="C27" s="48"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7" s="48" t="str">
        <f>CHOOSE(DETAILS!$B$2,"Naturalny wosk pszczeli, knot.","Natural beeswax, wick.","Natürliches Bienenwachs, Docht.","Cire d’abeille naturelle, mèche.","Cera de abeja natural, mecha.","Cera d’api naturale, stoppino.","Přírodní včelí vosk, knot.","Prírodný včelí vosk, knôt.")</f>
        <v>Natural beeswax, wick.</v>
      </c>
      <c r="E27" s="48"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7" s="49" t="str">
        <f>CHOOSE(DETAILS!$B$2,"Sposób użycia","How to use","Anwendung","Utilisation","Modo de uso","Istruzioni d’uso","Návod k použití","Návod na použitie")</f>
        <v>How to use</v>
      </c>
    </row>
    <row r="28" spans="1:6" ht="138" customHeight="1">
      <c r="A28" s="4" t="e" vm="24">
        <v>#VALUE!</v>
      </c>
      <c r="B28" s="43" t="str">
        <f>ORDER!B29&amp;CHAR(10)&amp;ORDER!C29&amp;"  "&amp;ORDER!D29&amp;CHAR(10)&amp;"EAN: "&amp;PRICES!F28</f>
        <v>Thin beeswax candle
Black  260 × 6 mm
EAN: 5903716470448</v>
      </c>
      <c r="C28" s="43" t="str">
        <f>CHOOSE(DETAILS!$B$2,"Cienkie świece do praktyk intencyjnych. Sklep może sprzedawać całe opakowania, pojedyncze świece lub tworzyć własne zestawy.","Thin candles for intention practices. Shops can sell whole packs, individual candles or create their own sets.","Dünne Kerzen für Intentionen. Verkauf als ganze Packung, einzeln oder in eigenen Sets möglich.","Bougies fines pour les pratiques d’intention. Vente par boîte, à l’unité ou dans vos propres coffrets.","Velas finas para prácticas de intención. Venta por cajas, por unidades o en sus propios conjuntos.","Candele sottili per pratiche d’intenzione. I negozi possono vendere confezioni intere, singole candele o creare i propri set.","Tenké svíčky pro práci se záměrem. Obchody mohou prodávat celá balení, jednotlivé svíčky nebo vytvářet vlastní sady.","Tenké sviečky na prácu so zámerom. Obchody môžu predávať celé balenia, jednotlivé sviečky alebo vytvárať vlastné sady.")</f>
        <v>Thin candles for intention practices. Shops can sell whole packs, individual candles or create their own sets.</v>
      </c>
      <c r="D28" s="43" t="str">
        <f>CHOOSE(DETAILS!$B$2,"Naturalny wosk pszczeli, knot.","Natural beeswax, wick.","Natürliches Bienenwachs, Docht.","Cire d’abeille naturelle, mèche.","Cera de abeja natural, mecha.","Cera d’api naturale, stoppino.","Přírodní včelí vosk, knot.","Prírodný včelí vosk, knôt.")</f>
        <v>Natural beeswax, wick.</v>
      </c>
      <c r="E28" s="43" t="str">
        <f>CHOOSE(DETAILS!$B$2,"Po 20 sztuk w pudełku detalicznym. 500 świec = 25 pudełek; 1000 świec = 50 pudełek.","20 pieces per retail box. 500 candles = 25 boxes; 1,000 candles = 50 boxes.","20 Stück je Verkaufsschachtel. 500 Kerzen = 25 Schachteln; 1.000 Kerzen = 50 Schachteln.","20 pièces par boîte. 500 bougies = 25 boîtes ; 1 000 bougies = 50 boîtes.","20 unidades por caja. 500 velas = 25 cajas; 1.000 velas = 50 cajas.","20 pezzi per scatola. 500 candele = 25 scatole; 1000 candele = 50 scatole.","20 kusů v krabičce. 500 svíček = 25 krabiček; 1000 svíček = 50 krabiček.","20 kusov v škatuľke. 500 sviečok = 25 škatuliek; 1000 sviečok = 50 škatuliek.")</f>
        <v>20 pieces per retail box. 500 candles = 25 boxes; 1,000 candles = 50 boxes.</v>
      </c>
      <c r="F28" s="50" t="str">
        <f>CHOOSE(DETAILS!$B$2,"Sposób użycia","How to use","Anwendung","Utilisation","Modo de uso","Istruzioni d’uso","Návod k použití","Návod na použitie")</f>
        <v>How to use</v>
      </c>
    </row>
    <row r="29" spans="1:6" ht="138" customHeight="1">
      <c r="A29" s="4" t="e" vm="25">
        <v>#VALUE!</v>
      </c>
      <c r="B29" s="48" t="str">
        <f>ORDER!B30&amp;CHAR(10)&amp;ORDER!C30&amp;"  "&amp;ORDER!D30&amp;CHAR(10)&amp;"EAN: "&amp;PRICES!F29</f>
        <v>Candle — administrative and legal matters
Light blue  150х20
EAN: 5903716470134</v>
      </c>
      <c r="C29" s="48"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29" s="48"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29" s="48"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29" s="49" t="str">
        <f>CHOOSE(DETAILS!$B$2,"Sposób użycia","How to use","Anwendung","Utilisation","Modo de uso","Istruzioni d’uso","Návod k použití","Návod na použitie")</f>
        <v>How to use</v>
      </c>
    </row>
    <row r="30" spans="1:6" ht="138" customHeight="1">
      <c r="A30" s="4" t="e" vm="26">
        <v>#VALUE!</v>
      </c>
      <c r="B30" s="43" t="str">
        <f>ORDER!B31&amp;CHAR(10)&amp;ORDER!C31&amp;"  "&amp;ORDER!D31&amp;CHAR(10)&amp;"EAN: "&amp;PRICES!F30</f>
        <v>Candle — amulet activation
Natural beeswax  150х20
EAN: 5903716470233</v>
      </c>
      <c r="C30" s="43"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30" s="43"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30" s="43"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30" s="50" t="str">
        <f>CHOOSE(DETAILS!$B$2,"Sposób użycia","How to use","Anwendung","Utilisation","Modo de uso","Istruzioni d’uso","Návod k použití","Návod na použitie")</f>
        <v>How to use</v>
      </c>
    </row>
    <row r="31" spans="1:6" ht="138" customHeight="1">
      <c r="A31" s="4" t="e" vm="27">
        <v>#VALUE!</v>
      </c>
      <c r="B31" s="48" t="str">
        <f>ORDER!B32&amp;CHAR(10)&amp;ORDER!C32&amp;"  "&amp;ORDER!D32&amp;CHAR(10)&amp;"EAN: "&amp;PRICES!F31</f>
        <v>Candle — opening paths
Orange  150х20
EAN: 5903716470127</v>
      </c>
      <c r="C31" s="48"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31" s="48"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31" s="48"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31" s="49" t="str">
        <f>CHOOSE(DETAILS!$B$2,"Sposób użycia","How to use","Anwendung","Utilisation","Modo de uso","Istruzioni d’uso","Návod k použití","Návod na použitie")</f>
        <v>How to use</v>
      </c>
    </row>
    <row r="32" spans="1:6" ht="138" customHeight="1">
      <c r="A32" s="4" t="e" vm="28">
        <v>#VALUE!</v>
      </c>
      <c r="B32" s="43" t="str">
        <f>ORDER!B33&amp;CHAR(10)&amp;ORDER!C33&amp;"  "&amp;ORDER!D33&amp;CHAR(10)&amp;"EAN: "&amp;PRICES!F32</f>
        <v>Renewal candle
Natural beeswax  
EAN: 5903716470196</v>
      </c>
      <c r="C32" s="43"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2" s="43" t="str">
        <f>CHOOSE(DETAILS!$B$2,"Naturalny wosk pszczeli, knot.","Natural beeswax, wick.","Natürliches Bienenwachs, Docht.","Cire d’abeille naturelle, mèche.","Cera de abeja natural, mecha.","Cera d’api naturale, stoppino.","Přírodní včelí vosk, knot.","Prírodný včelí vosk, knôt.")</f>
        <v>Natural beeswax, wick.</v>
      </c>
      <c r="E32"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2" s="50" t="str">
        <f>CHOOSE(DETAILS!$B$2,"Sposób użycia","How to use","Anwendung","Utilisation","Modo de uso","Istruzioni d’uso","Návod k použití","Návod na použitie")</f>
        <v>How to use</v>
      </c>
    </row>
    <row r="33" spans="1:6" ht="138" customHeight="1">
      <c r="A33" s="4" t="e" vm="29">
        <v>#VALUE!</v>
      </c>
      <c r="B33" s="48" t="str">
        <f>ORDER!B34&amp;CHAR(10)&amp;ORDER!C34&amp;"  "&amp;ORDER!D34&amp;CHAR(10)&amp;"EAN: "&amp;PRICES!F33</f>
        <v>Candle — home harmony
  150х20
EAN: 5903716470325</v>
      </c>
      <c r="C33" s="48"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3" s="48" t="str">
        <f>CHOOSE(DETAILS!$B$2,"Naturalny wosk pszczeli, knot.","Natural beeswax, wick.","Natürliches Bienenwachs, Docht.","Cire d’abeille naturelle, mèche.","Cera de abeja natural, mecha.","Cera d’api naturale, stoppino.","Přírodní včelí vosk, knot.","Prírodný včelí vosk, knôt.")</f>
        <v>Natural beeswax, wick.</v>
      </c>
      <c r="E33"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3" s="49" t="str">
        <f>CHOOSE(DETAILS!$B$2,"Sposób użycia","How to use","Anwendung","Utilisation","Modo de uso","Istruzioni d’uso","Návod k použití","Návod na použitie")</f>
        <v>How to use</v>
      </c>
    </row>
    <row r="34" spans="1:6" ht="138" customHeight="1">
      <c r="A34" s="4" t="e" vm="30">
        <v>#VALUE!</v>
      </c>
      <c r="B34" s="43" t="str">
        <f>ORDER!B35&amp;CHAR(10)&amp;ORDER!C35&amp;"  "&amp;ORDER!D35&amp;CHAR(10)&amp;"EAN: "&amp;PRICES!F34</f>
        <v>Candle — relationship harmony
Natural beeswax  
EAN: 5903716470059</v>
      </c>
      <c r="C34" s="43"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4" s="43" t="str">
        <f>CHOOSE(DETAILS!$B$2,"Naturalny wosk pszczeli, knot.","Natural beeswax, wick.","Natürliches Bienenwachs, Docht.","Cire d’abeille naturelle, mèche.","Cera de abeja natural, mecha.","Cera d’api naturale, stoppino.","Přírodní včelí vosk, knot.","Prírodný včelí vosk, knôt.")</f>
        <v>Natural beeswax, wick.</v>
      </c>
      <c r="E34"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4" s="50" t="str">
        <f>CHOOSE(DETAILS!$B$2,"Sposób użycia","How to use","Anwendung","Utilisation","Modo de uso","Istruzioni d’uso","Návod k použití","Návod na použitie")</f>
        <v>How to use</v>
      </c>
    </row>
    <row r="35" spans="1:6" ht="138" customHeight="1">
      <c r="A35" s="4" t="e" vm="31">
        <v>#VALUE!</v>
      </c>
      <c r="B35" s="48" t="str">
        <f>ORDER!B36&amp;CHAR(10)&amp;ORDER!C36&amp;"  "&amp;ORDER!D36&amp;CHAR(10)&amp;"EAN: "&amp;PRICES!F35</f>
        <v>Hecate candle
  60x55x2mm
EAN: 5903716470356</v>
      </c>
      <c r="C35" s="48"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5" s="48" t="str">
        <f>CHOOSE(DETAILS!$B$2,"Naturalny wosk pszczeli, knot.","Natural beeswax, wick.","Natürliches Bienenwachs, Docht.","Cire d’abeille naturelle, mèche.","Cera de abeja natural, mecha.","Cera d’api naturale, stoppino.","Přírodní včelí vosk, knot.","Prírodný včelí vosk, knôt.")</f>
        <v>Natural beeswax, wick.</v>
      </c>
      <c r="E35"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5" s="49" t="str">
        <f>CHOOSE(DETAILS!$B$2,"Sposób użycia","How to use","Anwendung","Utilisation","Modo de uso","Istruzioni d’uso","Návod k použití","Návod na použitie")</f>
        <v>How to use</v>
      </c>
    </row>
    <row r="36" spans="1:6" ht="138" customHeight="1">
      <c r="A36" s="4" t="e" vm="32">
        <v>#VALUE!</v>
      </c>
      <c r="B36" s="43" t="str">
        <f>ORDER!B37&amp;CHAR(10)&amp;ORDER!C37&amp;"  "&amp;ORDER!D37&amp;CHAR(10)&amp;"EAN: "&amp;PRICES!F36</f>
        <v>Candle — money and financial success
Green  
EAN: 5903716470141</v>
      </c>
      <c r="C36" s="43"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6" s="43" t="str">
        <f>CHOOSE(DETAILS!$B$2,"Naturalny wosk pszczeli, knot.","Natural beeswax, wick.","Natürliches Bienenwachs, Docht.","Cire d’abeille naturelle, mèche.","Cera de abeja natural, mecha.","Cera d’api naturale, stoppino.","Přírodní včelí vosk, knot.","Prírodný včelí vosk, knôt.")</f>
        <v>Natural beeswax, wick.</v>
      </c>
      <c r="E36"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6" s="50" t="str">
        <f>CHOOSE(DETAILS!$B$2,"Sposób użycia","How to use","Anwendung","Utilisation","Modo de uso","Istruzioni d’uso","Návod k použití","Návod na použitie")</f>
        <v>How to use</v>
      </c>
    </row>
    <row r="37" spans="1:6" ht="138" customHeight="1">
      <c r="A37" s="4" t="e" vm="33">
        <v>#VALUE!</v>
      </c>
      <c r="B37" s="48" t="str">
        <f>ORDER!B38&amp;CHAR(10)&amp;ORDER!C38&amp;"  "&amp;ORDER!D38&amp;CHAR(10)&amp;"EAN: "&amp;PRICES!F37</f>
        <v>Business candle
EAN: 5903716470240</v>
      </c>
      <c r="C37" s="48"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7" s="48" t="str">
        <f>CHOOSE(DETAILS!$B$2,"Naturalny wosk pszczeli, knot.","Natural beeswax, wick.","Natürliches Bienenwachs, Docht.","Cire d’abeille naturelle, mèche.","Cera de abeja natural, mecha.","Cera d’api naturale, stoppino.","Přírodní včelí vosk, knot.","Prírodný včelí vosk, knôt.")</f>
        <v>Natural beeswax, wick.</v>
      </c>
      <c r="E37"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7" s="49" t="str">
        <f>CHOOSE(DETAILS!$B$2,"Sposób użycia","How to use","Anwendung","Utilisation","Modo de uso","Istruzioni d’uso","Návod k použití","Návod na použitie")</f>
        <v>How to use</v>
      </c>
    </row>
    <row r="38" spans="1:6" ht="138" customHeight="1">
      <c r="A38" s="4" t="e" vm="34">
        <v>#VALUE!</v>
      </c>
      <c r="B38" s="43" t="str">
        <f>ORDER!B39&amp;CHAR(10)&amp;ORDER!C39&amp;"  "&amp;ORDER!D39&amp;CHAR(10)&amp;"EAN: "&amp;PRICES!F38</f>
        <v>Prosperity candle
Natural beeswax  
EAN: 5903716470202</v>
      </c>
      <c r="C38" s="43"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38" s="43"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38" s="43"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38" s="50" t="str">
        <f>CHOOSE(DETAILS!$B$2,"Sposób użycia","How to use","Anwendung","Utilisation","Modo de uso","Istruzioni d’uso","Návod k použití","Návod na použitie")</f>
        <v>How to use</v>
      </c>
    </row>
    <row r="39" spans="1:6" ht="138" customHeight="1">
      <c r="A39" s="4" t="e" vm="35">
        <v>#VALUE!</v>
      </c>
      <c r="B39" s="48" t="str">
        <f>ORDER!B40&amp;CHAR(10)&amp;ORDER!C40&amp;"  "&amp;ORDER!D40&amp;CHAR(10)&amp;"EAN: "&amp;PRICES!F39</f>
        <v>Protection candle — purple
Purple  
EAN: 5903716470158</v>
      </c>
      <c r="C39" s="48"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39" s="48" t="str">
        <f>CHOOSE(DETAILS!$B$2,"Naturalny wosk pszczeli, knot.","Natural beeswax, wick.","Natürliches Bienenwachs, Docht.","Cire d’abeille naturelle, mèche.","Cera de abeja natural, mecha.","Cera d’api naturale, stoppino.","Přírodní včelí vosk, knot.","Prírodný včelí vosk, knôt.")</f>
        <v>Natural beeswax, wick.</v>
      </c>
      <c r="E39"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39" s="49" t="str">
        <f>CHOOSE(DETAILS!$B$2,"Sposób użycia","How to use","Anwendung","Utilisation","Modo de uso","Istruzioni d’uso","Návod k použití","Návod na použitie")</f>
        <v>How to use</v>
      </c>
    </row>
    <row r="40" spans="1:6" ht="138" customHeight="1">
      <c r="A40" s="4" t="e" vm="36">
        <v>#VALUE!</v>
      </c>
      <c r="B40" s="43" t="str">
        <f>ORDER!B41&amp;CHAR(10)&amp;ORDER!C41&amp;"  "&amp;ORDER!D41&amp;CHAR(10)&amp;"EAN: "&amp;PRICES!F40</f>
        <v>Candle — home protection
Blue  
EAN: 5903716470332</v>
      </c>
      <c r="C40" s="43"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40" s="43" t="str">
        <f>CHOOSE(DETAILS!$B$2,"Naturalny wosk pszczeli, knot.","Natural beeswax, wick.","Natürliches Bienenwachs, Docht.","Cire d’abeille naturelle, mèche.","Cera de abeja natural, mecha.","Cera d’api naturale, stoppino.","Přírodní včelí vosk, knot.","Prírodný včelí vosk, knôt.")</f>
        <v>Natural beeswax, wick.</v>
      </c>
      <c r="E40"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40" s="50" t="str">
        <f>CHOOSE(DETAILS!$B$2,"Sposób użycia","How to use","Anwendung","Utilisation","Modo de uso","Istruzioni d’uso","Návod k použití","Návod na použitie")</f>
        <v>How to use</v>
      </c>
    </row>
    <row r="41" spans="1:6" ht="138" customHeight="1">
      <c r="A41" s="4" t="e" vm="37">
        <v>#VALUE!</v>
      </c>
      <c r="B41" s="48" t="str">
        <f>ORDER!B42&amp;CHAR(10)&amp;ORDER!C42&amp;"  "&amp;ORDER!D42&amp;CHAR(10)&amp;"EAN: "&amp;PRICES!F41</f>
        <v>Love ritual candle
Pink  
EAN: 5903716470042</v>
      </c>
      <c r="C41" s="48"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41" s="48"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41" s="48"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41" s="49" t="str">
        <f>CHOOSE(DETAILS!$B$2,"Sposób użycia","How to use","Anwendung","Utilisation","Modo de uso","Istruzioni d’uso","Návod k použití","Návod na použitie")</f>
        <v>How to use</v>
      </c>
    </row>
    <row r="42" spans="1:6" ht="138" customHeight="1">
      <c r="A42" s="4" t="e" vm="38">
        <v>#VALUE!</v>
      </c>
      <c r="B42" s="43" t="str">
        <f>ORDER!B43&amp;CHAR(10)&amp;ORDER!C43&amp;"  "&amp;ORDER!D43&amp;CHAR(10)&amp;"EAN: "&amp;PRICES!F42</f>
        <v>Candle — meditation and aura cleansing
White  
EAN: 5903716470035</v>
      </c>
      <c r="C42" s="43"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42" s="43"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42" s="43"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42" s="50" t="str">
        <f>CHOOSE(DETAILS!$B$2,"Sposób użycia","How to use","Anwendung","Utilisation","Modo de uso","Istruzioni d’uso","Návod k použití","Návod na použitie")</f>
        <v>How to use</v>
      </c>
    </row>
    <row r="43" spans="1:6" ht="138" customHeight="1">
      <c r="A43" s="4" t="e" vm="39">
        <v>#VALUE!</v>
      </c>
      <c r="B43" s="48" t="str">
        <f>ORDER!B44&amp;CHAR(10)&amp;ORDER!C44&amp;"  "&amp;ORDER!D44&amp;CHAR(10)&amp;"EAN: "&amp;PRICES!F43</f>
        <v>Aura cleansing candle
Black  
EAN: 5903716470110</v>
      </c>
      <c r="C43" s="48"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43" s="48"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43" s="48"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43" s="49" t="str">
        <f>CHOOSE(DETAILS!$B$2,"Sposób użycia","How to use","Anwendung","Utilisation","Modo de uso","Istruzioni d’uso","Návod k použití","Návod na použitie")</f>
        <v>How to use</v>
      </c>
    </row>
    <row r="44" spans="1:6" ht="138" customHeight="1">
      <c r="A44" s="8" t="e" vm="40">
        <v>#VALUE!</v>
      </c>
      <c r="B44" s="43" t="str">
        <f>ORDER!B45&amp;CHAR(10)&amp;ORDER!C45&amp;"  "&amp;ORDER!D45&amp;CHAR(10)&amp;"EAN: "&amp;PRICES!F44</f>
        <v>Home cleansing candle
EAN: 5903716470318</v>
      </c>
      <c r="C44" s="43"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44" s="43" t="str">
        <f>CHOOSE(DETAILS!$B$2,"Naturalny wosk pszczeli, knot.","Natural beeswax, wick.","Natürliches Bienenwachs, Docht.","Cire d’abeille naturelle, mèche.","Cera de abeja natural, mecha.","Cera d’api naturale, stoppino.","Přírodní včelí vosk, knot.","Prírodný včelí vosk, knôt.")</f>
        <v>Natural beeswax, wick.</v>
      </c>
      <c r="E44"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44" s="50" t="str">
        <f>CHOOSE(DETAILS!$B$2,"Sposób użycia","How to use","Anwendung","Utilisation","Modo de uso","Istruzioni d’uso","Návod k použití","Návod na použitie")</f>
        <v>How to use</v>
      </c>
    </row>
    <row r="45" spans="1:6" ht="138" customHeight="1">
      <c r="A45" s="4" t="e" vm="41">
        <v>#VALUE!</v>
      </c>
      <c r="B45" s="48" t="str">
        <f>ORDER!B46&amp;CHAR(10)&amp;ORDER!C46&amp;"  "&amp;ORDER!D46&amp;CHAR(10)&amp;"EAN: "&amp;PRICES!F45</f>
        <v>Candle — Primal Energy
Red  
EAN: 5903716470165</v>
      </c>
      <c r="C45" s="48"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45" s="48" t="str">
        <f>CHOOSE(DETAILS!$B$2,"Naturalny wosk pszczeli, knot.","Natural beeswax, wick.","Natürliches Bienenwachs, Docht.","Cire d’abeille naturelle, mèche.","Cera de abeja natural, mecha.","Cera d’api naturale, stoppino.","Přírodní včelí vosk, knot.","Prírodný včelí vosk, knôt.")</f>
        <v>Natural beeswax, wick.</v>
      </c>
      <c r="E45"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45" s="49" t="str">
        <f>CHOOSE(DETAILS!$B$2,"Sposób użycia","How to use","Anwendung","Utilisation","Modo de uso","Istruzioni d’uso","Návod k použití","Návod na použitie")</f>
        <v>How to use</v>
      </c>
    </row>
    <row r="46" spans="1:6" ht="138" customHeight="1">
      <c r="A46" s="4" t="e" vm="42">
        <v>#VALUE!</v>
      </c>
      <c r="B46" s="43" t="str">
        <f>ORDER!B47&amp;CHAR(10)&amp;ORDER!C47&amp;"  "&amp;ORDER!D47&amp;CHAR(10)&amp;"EAN: "&amp;PRICES!F46</f>
        <v>Candle — Seal of Lilith
Black  60x55x2mm
EAN: 5903716470349</v>
      </c>
      <c r="C46" s="43"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46" s="43" t="str">
        <f>CHOOSE(DETAILS!$B$2,"Naturalny wosk pszczeli, knot.","Natural beeswax, wick.","Natürliches Bienenwachs, Docht.","Cire d’abeille naturelle, mèche.","Cera de abeja natural, mecha.","Cera d’api naturale, stoppino.","Přírodní včelí vosk, knot.","Prírodný včelí vosk, knôt.")</f>
        <v>Natural beeswax, wick.</v>
      </c>
      <c r="E46"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46" s="50" t="str">
        <f>CHOOSE(DETAILS!$B$2,"Sposób użycia","How to use","Anwendung","Utilisation","Modo de uso","Istruzioni d’uso","Návod k použití","Návod na použitie")</f>
        <v>How to use</v>
      </c>
    </row>
    <row r="47" spans="1:6" ht="138" customHeight="1">
      <c r="A47" s="4" t="e" vm="43">
        <v>#VALUE!</v>
      </c>
      <c r="B47" s="48" t="str">
        <f>ORDER!B48&amp;CHAR(10)&amp;ORDER!C48&amp;"  "&amp;ORDER!D48&amp;CHAR(10)&amp;"EAN: "&amp;PRICES!F47</f>
        <v>Candle — Earth Element, Guardian of the Home
EAN: 5903716470103</v>
      </c>
      <c r="C47" s="48" t="str">
        <f>CHOOSE(DETAILS!$B$2,"Ręcznie wykonana świeca rytualna. Przeznaczenie wskazuje nazwa produktu; zdjęcie przedstawia jego formę i wykończenie.","Handmade ritual candle. The product name indicates its theme; the photo shows its shape and finish.","Handgefertigte Ritualkerze. Der Produktname bezeichnet das Thema; das Foto zeigt Form und Ausführung.","Bougie rituelle artisanale. Le nom indique son thème ; la photo présente sa forme et sa finition.","Vela ritual artesanal. El nombre indica su temática; la foto muestra su forma y acabado.","Candela rituale realizzata a mano. Il nome indica il tema; la foto mostra la forma e la finitura.","Ručně vyráběná rituální svíčka. Název označuje téma; fotografie ukazuje tvar a provedení.","Ručne vyrábaná rituálna sviečka. Názov označuje tému; fotografia ukazuje tvar a vyhotovenie.")</f>
        <v>Handmade ritual candle. The product name indicates its theme; the photo shows its shape and finish.</v>
      </c>
      <c r="D47" s="48" t="str">
        <f>CHOOSE(DETAILS!$B$2,"Naturalny wosk pszczeli, knot.","Natural beeswax, wick.","Natürliches Bienenwachs, Docht.","Cire d’abeille naturelle, mèche.","Cera de abeja natural, mecha.","Cera d’api naturale, stoppino.","Přírodní včelí vosk, knot.","Prírodný včelí vosk, knôt.")</f>
        <v>Natural beeswax, wick.</v>
      </c>
      <c r="E47"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47" s="49" t="str">
        <f>CHOOSE(DETAILS!$B$2,"Sposób użycia","How to use","Anwendung","Utilisation","Modo de uso","Istruzioni d’uso","Návod k použití","Návod na použitie")</f>
        <v>How to use</v>
      </c>
    </row>
    <row r="48" spans="1:6" ht="138" customHeight="1">
      <c r="A48" s="4" t="e" vm="44">
        <v>#VALUE!</v>
      </c>
      <c r="B48" s="43" t="str">
        <f>ORDER!B49&amp;CHAR(10)&amp;ORDER!C49&amp;"  "&amp;ORDER!D49&amp;CHAR(10)&amp;"EAN: "&amp;PRICES!F48</f>
        <v>Candle — Third Eye, Ajna
Blue  
EAN: 5903716470226</v>
      </c>
      <c r="C48" s="43" t="str">
        <f>CHOOSE(DETAILS!$B$2,"Ręcznie wykonana świeca rytualna z kompozycją ziół i olejków aromatycznych dobraną do intencji wskazanej w nazwie. Gotowa do sprzedaży detalicznej.","Handmade ritual candle with a blend of herbs and aromatic oils selected for the intention named on the product. Ready for retail sale.","Handgefertigte Ritualkerze mit einer auf die genannte Intention abgestimmten Komposition aus Kräutern und Duftölen. Für den Einzelverkauf vorbereitet.","Bougie rituelle artisanale avec une composition de plantes et d’huiles aromatiques adaptée à l’intention indiquée. Prête pour la vente au détail.","Vela ritual artesanal con una mezcla de hierbas y aceites aromáticos acorde con la intención indicada. Lista para la venta al por menor.","Candela rituale realizzata a mano con una miscela di erbe e oli aromatici selezionati per l’intenzione indicata sul prodotto. Pronta per la vendita al dettaglio.","Ručně vyráběná rituální svíčka se směsí bylin a aromatických olejů vybraných podle záměru uvedeného u produktu. Připravená k maloobchodnímu prodeji.","Ručne vyrábaná rituálna sviečka so zmesou bylín a aromatických olejov vybraných podľa zámeru uvedeného pri produkte. Pripravená na maloobchodný predaj.")</f>
        <v>Handmade ritual candle with a blend of herbs and aromatic oils selected for the intention named on the product. Ready for retail sale.</v>
      </c>
      <c r="D48" s="43" t="str">
        <f>CHOOSE(DETAILS!$B$2,"Naturalny wosk pszczeli, kompozycja ziół i olejków aromatycznych, knot.","Natural beeswax, a blend of herbs and aromatic oils, wick.","Natürliches Bienenwachs, eine Komposition aus Kräutern und Duftölen, Docht.","Cire d’abeille naturelle, composition de plantes et d’huiles aromatiques, mèche.","Cera de abeja natural, mezcla de hierbas y aceites aromáticos, mecha.","Cera d’api naturale, miscela di erbe e oli aromatici, stoppino.","Přírodní včelí vosk, směs bylin a aromatických olejů, knot.","Prírodný včelí vosk, zmes bylín a aromatických olejov, knôt.")</f>
        <v>Natural beeswax, a blend of herbs and aromatic oils, wick.</v>
      </c>
      <c r="E48" s="43" t="str">
        <f>CHOOSE(DETAILS!$B$2,"Indywidualne pudełko kartonowe. Świeca jest stabilnie zabezpieczona na czas transportu i przechowywania.","Individual cardboard box. The candle is securely protected for transport and storage.","Einzelne Kartonschachtel. Die Kerze ist für Transport und Lagerung sicher verpackt.","Boîte individuelle en carton. La bougie est bien protégée pour le transport et le stockage.","Caja individual de cartón. La vela queda protegida para el transporte y almacenamiento.","Scatola di cartone individuale. La candela è protetta per il trasporto e la conservazione.","Samostatná kartonová krabička. Svíčka je bezpečně chráněna při přepravě a skladování.","Samostatná kartónová škatuľka. Sviečka je bezpečne chránená pri preprave a skladovaní.")</f>
        <v>Individual cardboard box. The candle is securely protected for transport and storage.</v>
      </c>
      <c r="F48" s="50" t="str">
        <f>CHOOSE(DETAILS!$B$2,"Sposób użycia","How to use","Anwendung","Utilisation","Modo de uso","Istruzioni d’uso","Návod k použití","Návod na použitie")</f>
        <v>How to use</v>
      </c>
    </row>
    <row r="49" spans="1:6" ht="138" customHeight="1">
      <c r="A49" s="4" t="e" vm="45">
        <v>#VALUE!</v>
      </c>
      <c r="B49" s="48" t="str">
        <f>ORDER!B50&amp;CHAR(10)&amp;ORDER!C50&amp;"  "&amp;ORDER!D50&amp;CHAR(10)&amp;"EAN: "&amp;PRICES!F49</f>
        <v>Ansuz rune candle
Natural yellow  60×25 mm
EAN: 5903716470288</v>
      </c>
      <c r="C49" s="48" t="str">
        <f>CHOOSE(DETAILS!$B$2,"Świeca z symbolem runicznym wskazanym w nazwie. Do praktyk symbolicznych i intencyjnych.","Candle bearing the rune named in the product title. For symbolic and intention practices.","Kerze mit der im Produktnamen genannten Rune. Für symbolische Anwendungen und Intentionen.","Bougie portant la rune indiquée dans son nom. Pour les pratiques symboliques et d’intention.","Vela con la runa indicada en su nombre. Para prácticas simbólicas y de intención.","Candela con la runa indicata nel nome del prodotto. Per pratiche simboliche e d’intenzione.","Svíčka s runou uvedenou v názvu produktu. Pro symbolické praktiky a práci se záměrem.","Sviečka s runou uvedenou v názve produktu. Na symbolické praktiky a prácu so zámerom.")</f>
        <v>Candle bearing the rune named in the product title. For symbolic and intention practices.</v>
      </c>
      <c r="D49" s="48" t="str">
        <f>CHOOSE(DETAILS!$B$2,"Naturalny wosk pszczeli, knot.","Natural beeswax, wick.","Natürliches Bienenwachs, Docht.","Cire d’abeille naturelle, mèche.","Cera de abeja natural, mecha.","Cera d’api naturale, stoppino.","Přírodní včelí vosk, knot.","Prírodný včelí vosk, knôt.")</f>
        <v>Natural beeswax, wick.</v>
      </c>
      <c r="E49"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49" s="49" t="str">
        <f>CHOOSE(DETAILS!$B$2,"Sposób użycia","How to use","Anwendung","Utilisation","Modo de uso","Istruzioni d’uso","Návod k použití","Návod na použitie")</f>
        <v>How to use</v>
      </c>
    </row>
    <row r="50" spans="1:6" ht="138" customHeight="1">
      <c r="A50" s="4" t="e" vm="46">
        <v>#VALUE!</v>
      </c>
      <c r="B50" s="43" t="str">
        <f>ORDER!B51&amp;CHAR(10)&amp;ORDER!C51&amp;"  "&amp;ORDER!D51&amp;CHAR(10)&amp;"EAN: "&amp;PRICES!F50</f>
        <v>Berkano rune candle
Natural yellow  60×25 mm
EAN: 5903716470271</v>
      </c>
      <c r="C50" s="43" t="str">
        <f>CHOOSE(DETAILS!$B$2,"Świeca z symbolem runicznym wskazanym w nazwie. Do praktyk symbolicznych i intencyjnych.","Candle bearing the rune named in the product title. For symbolic and intention practices.","Kerze mit der im Produktnamen genannten Rune. Für symbolische Anwendungen und Intentionen.","Bougie portant la rune indiquée dans son nom. Pour les pratiques symboliques et d’intention.","Vela con la runa indicada en su nombre. Para prácticas simbólicas y de intención.","Candela con la runa indicata nel nome del prodotto. Per pratiche simboliche e d’intenzione.","Svíčka s runou uvedenou v názvu produktu. Pro symbolické praktiky a práci se záměrem.","Sviečka s runou uvedenou v názve produktu. Na symbolické praktiky a prácu so zámerom.")</f>
        <v>Candle bearing the rune named in the product title. For symbolic and intention practices.</v>
      </c>
      <c r="D50" s="43" t="str">
        <f>CHOOSE(DETAILS!$B$2,"Naturalny wosk pszczeli, knot.","Natural beeswax, wick.","Natürliches Bienenwachs, Docht.","Cire d’abeille naturelle, mèche.","Cera de abeja natural, mecha.","Cera d’api naturale, stoppino.","Přírodní včelí vosk, knot.","Prírodný včelí vosk, knôt.")</f>
        <v>Natural beeswax, wick.</v>
      </c>
      <c r="E50"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0" s="50" t="str">
        <f>CHOOSE(DETAILS!$B$2,"Sposób użycia","How to use","Anwendung","Utilisation","Modo de uso","Istruzioni d’uso","Návod k použití","Návod na použitie")</f>
        <v>How to use</v>
      </c>
    </row>
    <row r="51" spans="1:6" ht="138" customHeight="1">
      <c r="A51" s="4" t="e" vm="47">
        <v>#VALUE!</v>
      </c>
      <c r="B51" s="48" t="str">
        <f>ORDER!B52&amp;CHAR(10)&amp;ORDER!C52&amp;"  "&amp;ORDER!D52&amp;CHAR(10)&amp;"EAN: "&amp;PRICES!F51</f>
        <v>Fehu rune candle
Natural yellow  60×25 mm
EAN: 5903716470257</v>
      </c>
      <c r="C51" s="48" t="str">
        <f>CHOOSE(DETAILS!$B$2,"Świeca z symbolem runicznym wskazanym w nazwie. Do praktyk symbolicznych i intencyjnych.","Candle bearing the rune named in the product title. For symbolic and intention practices.","Kerze mit der im Produktnamen genannten Rune. Für symbolische Anwendungen und Intentionen.","Bougie portant la rune indiquée dans son nom. Pour les pratiques symboliques et d’intention.","Vela con la runa indicada en su nombre. Para prácticas simbólicas y de intención.","Candela con la runa indicata nel nome del prodotto. Per pratiche simboliche e d’intenzione.","Svíčka s runou uvedenou v názvu produktu. Pro symbolické praktiky a práci se záměrem.","Sviečka s runou uvedenou v názve produktu. Na symbolické praktiky a prácu so zámerom.")</f>
        <v>Candle bearing the rune named in the product title. For symbolic and intention practices.</v>
      </c>
      <c r="D51" s="48" t="str">
        <f>CHOOSE(DETAILS!$B$2,"Naturalny wosk pszczeli, knot.","Natural beeswax, wick.","Natürliches Bienenwachs, Docht.","Cire d’abeille naturelle, mèche.","Cera de abeja natural, mecha.","Cera d’api naturale, stoppino.","Přírodní včelí vosk, knot.","Prírodný včelí vosk, knôt.")</f>
        <v>Natural beeswax, wick.</v>
      </c>
      <c r="E51"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1" s="49" t="str">
        <f>CHOOSE(DETAILS!$B$2,"Sposób użycia","How to use","Anwendung","Utilisation","Modo de uso","Istruzioni d’uso","Návod k použití","Návod na použitie")</f>
        <v>How to use</v>
      </c>
    </row>
    <row r="52" spans="1:6" ht="138" customHeight="1">
      <c r="A52" s="4" t="e" vm="48">
        <v>#VALUE!</v>
      </c>
      <c r="B52" s="43" t="str">
        <f>ORDER!B53&amp;CHAR(10)&amp;ORDER!C53&amp;"  "&amp;ORDER!D53&amp;CHAR(10)&amp;"EAN: "&amp;PRICES!F52</f>
        <v>Uruz rune candle
Natural yellow  60×25 mm
EAN: 5903716470264</v>
      </c>
      <c r="C52" s="43" t="str">
        <f>CHOOSE(DETAILS!$B$2,"Świeca z symbolem runicznym wskazanym w nazwie. Do praktyk symbolicznych i intencyjnych.","Candle bearing the rune named in the product title. For symbolic and intention practices.","Kerze mit der im Produktnamen genannten Rune. Für symbolische Anwendungen und Intentionen.","Bougie portant la rune indiquée dans son nom. Pour les pratiques symboliques et d’intention.","Vela con la runa indicada en su nombre. Para prácticas simbólicas y de intención.","Candela con la runa indicata nel nome del prodotto. Per pratiche simboliche e d’intenzione.","Svíčka s runou uvedenou v názvu produktu. Pro symbolické praktiky a práci se záměrem.","Sviečka s runou uvedenou v názve produktu. Na symbolické praktiky a prácu so zámerom.")</f>
        <v>Candle bearing the rune named in the product title. For symbolic and intention practices.</v>
      </c>
      <c r="D52" s="43" t="str">
        <f>CHOOSE(DETAILS!$B$2,"Naturalny wosk pszczeli, knot.","Natural beeswax, wick.","Natürliches Bienenwachs, Docht.","Cire d’abeille naturelle, mèche.","Cera de abeja natural, mecha.","Cera d’api naturale, stoppino.","Přírodní včelí vosk, knot.","Prírodný včelí vosk, knôt.")</f>
        <v>Natural beeswax, wick.</v>
      </c>
      <c r="E52"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2" s="50" t="str">
        <f>CHOOSE(DETAILS!$B$2,"Sposób użycia","How to use","Anwendung","Utilisation","Modo de uso","Istruzioni d’uso","Návod k použití","Návod na použitie")</f>
        <v>How to use</v>
      </c>
    </row>
    <row r="53" spans="1:6" ht="138" customHeight="1">
      <c r="A53" s="4" t="e" vm="49">
        <v>#VALUE!</v>
      </c>
      <c r="B53" s="48" t="str">
        <f>ORDER!B54&amp;CHAR(10)&amp;ORDER!C54&amp;"  "&amp;ORDER!D54&amp;CHAR(10)&amp;"EAN: "&amp;PRICES!F53</f>
        <v>Wunjo rune candle
Natural yellow  60×25 mm
EAN: 5903716470172</v>
      </c>
      <c r="C53" s="48" t="str">
        <f>CHOOSE(DETAILS!$B$2,"Świeca z symbolem runicznym wskazanym w nazwie. Do praktyk symbolicznych i intencyjnych.","Candle bearing the rune named in the product title. For symbolic and intention practices.","Kerze mit der im Produktnamen genannten Rune. Für symbolische Anwendungen und Intentionen.","Bougie portant la rune indiquée dans son nom. Pour les pratiques symboliques et d’intention.","Vela con la runa indicada en su nombre. Para prácticas simbólicas y de intención.","Candela con la runa indicata nel nome del prodotto. Per pratiche simboliche e d’intenzione.","Svíčka s runou uvedenou v názvu produktu. Pro symbolické praktiky a práci se záměrem.","Sviečka s runou uvedenou v názve produktu. Na symbolické praktiky a prácu so zámerom.")</f>
        <v>Candle bearing the rune named in the product title. For symbolic and intention practices.</v>
      </c>
      <c r="D53" s="48" t="str">
        <f>CHOOSE(DETAILS!$B$2,"Naturalny wosk pszczeli, knot.","Natural beeswax, wick.","Natürliches Bienenwachs, Docht.","Cire d’abeille naturelle, mèche.","Cera de abeja natural, mecha.","Cera d’api naturale, stoppino.","Přírodní včelí vosk, knot.","Prírodný včelí vosk, knôt.")</f>
        <v>Natural beeswax, wick.</v>
      </c>
      <c r="E53"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3" s="49" t="str">
        <f>CHOOSE(DETAILS!$B$2,"Sposób użycia","How to use","Anwendung","Utilisation","Modo de uso","Istruzioni d’uso","Návod k použití","Návod na použitie")</f>
        <v>How to use</v>
      </c>
    </row>
    <row r="54" spans="1:6" ht="138" customHeight="1">
      <c r="A54" s="4" t="e" vm="50">
        <v>#VALUE!</v>
      </c>
      <c r="B54" s="43" t="str">
        <f>ORDER!B55&amp;CHAR(10)&amp;ORDER!C55&amp;"  "&amp;ORDER!D55&amp;CHAR(10)&amp;"EAN: "&amp;PRICES!F54</f>
        <v>Candle holder
Gold  2 cm
EAN: 5903716470097</v>
      </c>
      <c r="C54" s="43" t="str">
        <f>CHOOSE(DETAILS!$B$2,"Świecznik do świec o odpowiedniej średnicy. Przed użyciem sprawdź dopasowanie i stabilność świecy.","Candle holder for a suitably sized candle. Check the fit and stability before use.","Kerzenhalter für eine passende Kerzengröße. Vor Gebrauch Sitz und Standfestigkeit prüfen.","Bougeoir pour une bougie de diamètre adapté. Vérifier l’ajustement et la stabilité avant utilisation.","Portavelas para una vela de diámetro adecuado. Compruebe el ajuste y la estabilidad antes de usarlo.","Portacandele per una candela delle dimensioni adatte. Verificare la compatibilità e la stabilità prima dell’uso.","Svícen pro svíčku odpovídající velikosti. Před použitím ověřte usazení a stabilitu.","Svietnik na sviečku zodpovedajúcej veľkosti. Pred použitím overte osadenie a stabilitu.")</f>
        <v>Candle holder for a suitably sized candle. Check the fit and stability before use.</v>
      </c>
      <c r="D54" s="43" t="str">
        <f>CHOOSE(DETAILS!$B$2,"Szczegóły materiału: oferta Allegro lub zapytanie do dostawcy.","Material details: Allegro listing or supplier enquiry.","Materialdetails: Allegro-Angebot oder Lieferantenanfrage.","Détails du matériau : annonce Allegro ou fournisseur.","Detalles del material: anuncio de Allegro o consulta al proveedor.","Dettagli sul materiale: inserzione Allegro o richiesta al fornitore.","Podrobnosti o materiálu: nabídka Allegro nebo dotaz dodavateli.","Podrobnosti o materiáli: ponuka Allegro alebo otázka dodávateľovi.")</f>
        <v>Material details: Allegro listing or supplier enquiry.</v>
      </c>
      <c r="E54"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4" s="50" t="str">
        <f>CHOOSE(DETAILS!$B$2,"Sposób użycia","How to use","Anwendung","Utilisation","Modo de uso","Istruzioni d’uso","Návod k použití","Návod na použitie")</f>
        <v>How to use</v>
      </c>
    </row>
    <row r="55" spans="1:6" ht="138" customHeight="1">
      <c r="A55" s="4" t="e" vm="51">
        <v>#VALUE!</v>
      </c>
      <c r="B55" s="48" t="str">
        <f>ORDER!B56&amp;CHAR(10)&amp;ORDER!C56&amp;"  "&amp;ORDER!D56&amp;CHAR(10)&amp;"EAN: "&amp;PRICES!F55</f>
        <v>Candle holder
Gold  0,6 cm
EAN: 5903716470073</v>
      </c>
      <c r="C55" s="48" t="str">
        <f>CHOOSE(DETAILS!$B$2,"Świecznik do świec o odpowiedniej średnicy. Przed użyciem sprawdź dopasowanie i stabilność świecy.","Candle holder for a suitably sized candle. Check the fit and stability before use.","Kerzenhalter für eine passende Kerzengröße. Vor Gebrauch Sitz und Standfestigkeit prüfen.","Bougeoir pour une bougie de diamètre adapté. Vérifier l’ajustement et la stabilité avant utilisation.","Portavelas para una vela de diámetro adecuado. Compruebe el ajuste y la estabilidad antes de usarlo.","Portacandele per una candela delle dimensioni adatte. Verificare la compatibilità e la stabilità prima dell’uso.","Svícen pro svíčku odpovídající velikosti. Před použitím ověřte usazení a stabilitu.","Svietnik na sviečku zodpovedajúcej veľkosti. Pred použitím overte osadenie a stabilitu.")</f>
        <v>Candle holder for a suitably sized candle. Check the fit and stability before use.</v>
      </c>
      <c r="D55" s="48" t="str">
        <f>CHOOSE(DETAILS!$B$2,"Szczegóły materiału: oferta Allegro lub zapytanie do dostawcy.","Material details: Allegro listing or supplier enquiry.","Materialdetails: Allegro-Angebot oder Lieferantenanfrage.","Détails du matériau : annonce Allegro ou fournisseur.","Detalles del material: anuncio de Allegro o consulta al proveedor.","Dettagli sul materiale: inserzione Allegro o richiesta al fornitore.","Podrobnosti o materiálu: nabídka Allegro nebo dotaz dodavateli.","Podrobnosti o materiáli: ponuka Allegro alebo otázka dodávateľovi.")</f>
        <v>Material details: Allegro listing or supplier enquiry.</v>
      </c>
      <c r="E55"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5" s="49" t="str">
        <f>CHOOSE(DETAILS!$B$2,"Sposób użycia","How to use","Anwendung","Utilisation","Modo de uso","Istruzioni d’uso","Návod k použití","Návod na použitie")</f>
        <v>How to use</v>
      </c>
    </row>
    <row r="56" spans="1:6" ht="138" customHeight="1">
      <c r="A56" s="4" t="e" vm="52">
        <v>#VALUE!</v>
      </c>
      <c r="B56" s="43" t="str">
        <f>ORDER!B57&amp;CHAR(10)&amp;ORDER!C57&amp;"  "&amp;ORDER!D57&amp;CHAR(10)&amp;"EAN: "&amp;PRICES!F56</f>
        <v>Candle holder
Gold  1 cm
EAN: 5903716470080</v>
      </c>
      <c r="C56" s="43" t="str">
        <f>CHOOSE(DETAILS!$B$2,"Świecznik do świec o odpowiedniej średnicy. Przed użyciem sprawdź dopasowanie i stabilność świecy.","Candle holder for a suitably sized candle. Check the fit and stability before use.","Kerzenhalter für eine passende Kerzengröße. Vor Gebrauch Sitz und Standfestigkeit prüfen.","Bougeoir pour une bougie de diamètre adapté. Vérifier l’ajustement et la stabilité avant utilisation.","Portavelas para una vela de diámetro adecuado. Compruebe el ajuste y la estabilidad antes de usarlo.","Portacandele per una candela delle dimensioni adatte. Verificare la compatibilità e la stabilità prima dell’uso.","Svícen pro svíčku odpovídající velikosti. Před použitím ověřte usazení a stabilitu.","Svietnik na sviečku zodpovedajúcej veľkosti. Pred použitím overte osadenie a stabilitu.")</f>
        <v>Candle holder for a suitably sized candle. Check the fit and stability before use.</v>
      </c>
      <c r="D56" s="43" t="str">
        <f>CHOOSE(DETAILS!$B$2,"Szczegóły materiału: oferta Allegro lub zapytanie do dostawcy.","Material details: Allegro listing or supplier enquiry.","Materialdetails: Allegro-Angebot oder Lieferantenanfrage.","Détails du matériau : annonce Allegro ou fournisseur.","Detalles del material: anuncio de Allegro o consulta al proveedor.","Dettagli sul materiale: inserzione Allegro o richiesta al fornitore.","Podrobnosti o materiálu: nabídka Allegro nebo dotaz dodavateli.","Podrobnosti o materiáli: ponuka Allegro alebo otázka dodávateľovi.")</f>
        <v>Material details: Allegro listing or supplier enquiry.</v>
      </c>
      <c r="E56" s="43"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6" s="50" t="str">
        <f>CHOOSE(DETAILS!$B$2,"Sposób użycia","How to use","Anwendung","Utilisation","Modo de uso","Istruzioni d’uso","Návod k použití","Návod na použitie")</f>
        <v>How to use</v>
      </c>
    </row>
    <row r="57" spans="1:6" ht="138" customHeight="1">
      <c r="A57" s="4" t="e" vm="53">
        <v>#VALUE!</v>
      </c>
      <c r="B57" s="48" t="str">
        <f>ORDER!B58&amp;CHAR(10)&amp;ORDER!C58&amp;"  "&amp;ORDER!D58&amp;CHAR(10)&amp;"EAN: "&amp;PRICES!F57</f>
        <v>Candle holder
Gold  0.8 cm
EAN: 5903716470066</v>
      </c>
      <c r="C57" s="48" t="str">
        <f>CHOOSE(DETAILS!$B$2,"Świecznik do świec o odpowiedniej średnicy. Przed użyciem sprawdź dopasowanie i stabilność świecy.","Candle holder for a suitably sized candle. Check the fit and stability before use.","Kerzenhalter für eine passende Kerzengröße. Vor Gebrauch Sitz und Standfestigkeit prüfen.","Bougeoir pour une bougie de diamètre adapté. Vérifier l’ajustement et la stabilité avant utilisation.","Portavelas para una vela de diámetro adecuado. Compruebe el ajuste y la estabilidad antes de usarlo.","Portacandele per una candela delle dimensioni adatte. Verificare la compatibilità e la stabilità prima dell’uso.","Svícen pro svíčku odpovídající velikosti. Před použitím ověřte usazení a stabilitu.","Svietnik na sviečku zodpovedajúcej veľkosti. Pred použitím overte osadenie a stabilitu.")</f>
        <v>Candle holder for a suitably sized candle. Check the fit and stability before use.</v>
      </c>
      <c r="D57" s="48" t="str">
        <f>CHOOSE(DETAILS!$B$2,"Szczegóły materiału: oferta Allegro lub zapytanie do dostawcy.","Material details: Allegro listing or supplier enquiry.","Materialdetails: Allegro-Angebot oder Lieferantenanfrage.","Détails du matériau : annonce Allegro ou fournisseur.","Detalles del material: anuncio de Allegro o consulta al proveedor.","Dettagli sul materiale: inserzione Allegro o richiesta al fornitore.","Podrobnosti o materiálu: nabídka Allegro nebo dotaz dodavateli.","Podrobnosti o materiáli: ponuka Allegro alebo otázka dodávateľovi.")</f>
        <v>Material details: Allegro listing or supplier enquiry.</v>
      </c>
      <c r="E57" s="48" t="str">
        <f>CHOOSE(DETAILS!$B$2,"Zabezpieczone do transportu. Szczegóły opakowania jednostkowego potwierdza dostawca.","Protected for transport. The supplier confirms individual packaging details.","Für den Transport geschützt. Details zur Einzelverpackung bestätigt der Lieferant.","Protégé pour le transport. Emballage individuel à confirmer auprès du fournisseur.","Protegido para el transporte. El proveedor confirma los detalles del embalaje individual.","Protetto per il trasporto. I dettagli della confezione individuale sono confermati dal fornitore.","Chráněno pro přepravu. Podrobnosti o jednotlivém balení potvrdí dodavatel.","Chránené na prepravu. Podrobnosti o jednotlivom balení potvrdí dodávateľ.")</f>
        <v>Protected for transport. The supplier confirms individual packaging details.</v>
      </c>
      <c r="F57" s="49" t="str">
        <f>CHOOSE(DETAILS!$B$2,"Sposób użycia","How to use","Anwendung","Utilisation","Modo de uso","Istruzioni d’uso","Návod k použití","Návod na použitie")</f>
        <v>How to use</v>
      </c>
    </row>
    <row r="58" spans="1:6">
      <c r="A58" s="9"/>
      <c r="B58" s="9"/>
      <c r="C58" s="9"/>
      <c r="D58" s="9"/>
      <c r="E58" s="9"/>
      <c r="F58" s="9"/>
    </row>
    <row r="59" spans="1:6">
      <c r="A59" s="9"/>
      <c r="B59" s="9"/>
      <c r="C59" s="9"/>
      <c r="D59" s="9"/>
      <c r="E59" s="9"/>
      <c r="F59" s="9"/>
    </row>
    <row r="60" spans="1:6">
      <c r="A60" s="9"/>
      <c r="B60" s="9"/>
      <c r="C60" s="9"/>
      <c r="D60" s="9"/>
      <c r="E60" s="9"/>
      <c r="F60" s="9"/>
    </row>
    <row r="61" spans="1:6">
      <c r="A61" s="9"/>
      <c r="B61" s="9"/>
      <c r="C61" s="9"/>
      <c r="D61" s="9"/>
      <c r="E61" s="9"/>
      <c r="F61" s="9"/>
    </row>
  </sheetData>
  <mergeCells count="2">
    <mergeCell ref="A1:F1"/>
    <mergeCell ref="A2:F2"/>
  </mergeCells>
  <hyperlinks>
    <hyperlink ref="F5" location="'USAGE'!A1" display="'USAGE'!A1" xr:uid="{00000000-0004-0000-0300-000000000000}"/>
    <hyperlink ref="F6" location="'USAGE'!A1" display="'USAGE'!A1" xr:uid="{00000000-0004-0000-0300-000001000000}"/>
    <hyperlink ref="F7" location="'USAGE'!A1" display="'USAGE'!A1" xr:uid="{00000000-0004-0000-0300-000002000000}"/>
    <hyperlink ref="F8" location="'USAGE'!A1" display="'USAGE'!A1" xr:uid="{00000000-0004-0000-0300-000003000000}"/>
    <hyperlink ref="F9" location="'USAGE'!A1" display="'USAGE'!A1" xr:uid="{00000000-0004-0000-0300-000004000000}"/>
    <hyperlink ref="F10" location="'USAGE'!A1" display="'USAGE'!A1" xr:uid="{00000000-0004-0000-0300-000005000000}"/>
    <hyperlink ref="F11" location="'USAGE'!A1" display="'USAGE'!A1" xr:uid="{00000000-0004-0000-0300-000006000000}"/>
    <hyperlink ref="F12" location="'USAGE'!A1" display="'USAGE'!A1" xr:uid="{00000000-0004-0000-0300-000007000000}"/>
    <hyperlink ref="F13" location="'USAGE'!A1" display="'USAGE'!A1" xr:uid="{00000000-0004-0000-0300-000008000000}"/>
    <hyperlink ref="F14" location="'USAGE'!A1" display="'USAGE'!A1" xr:uid="{00000000-0004-0000-0300-000009000000}"/>
    <hyperlink ref="F15" location="'USAGE'!A1" display="'USAGE'!A1" xr:uid="{00000000-0004-0000-0300-00000A000000}"/>
    <hyperlink ref="F16" location="'USAGE'!A1" display="'USAGE'!A1" xr:uid="{00000000-0004-0000-0300-00000B000000}"/>
    <hyperlink ref="F17" location="'USAGE'!A1" display="'USAGE'!A1" xr:uid="{00000000-0004-0000-0300-00000C000000}"/>
    <hyperlink ref="F18" location="'USAGE'!A1" display="'USAGE'!A1" xr:uid="{00000000-0004-0000-0300-00000D000000}"/>
    <hyperlink ref="F19" location="'USAGE'!A1" display="'USAGE'!A1" xr:uid="{00000000-0004-0000-0300-00000E000000}"/>
    <hyperlink ref="F20" location="'USAGE'!A1" display="'USAGE'!A1" xr:uid="{00000000-0004-0000-0300-00000F000000}"/>
    <hyperlink ref="F21" location="'USAGE'!A1" display="'USAGE'!A1" xr:uid="{00000000-0004-0000-0300-000010000000}"/>
    <hyperlink ref="F22" location="'USAGE'!A1" display="'USAGE'!A1" xr:uid="{00000000-0004-0000-0300-000011000000}"/>
    <hyperlink ref="F23" location="'USAGE'!A1" display="'USAGE'!A1" xr:uid="{00000000-0004-0000-0300-000012000000}"/>
    <hyperlink ref="F24" location="'USAGE'!A1" display="'USAGE'!A1" xr:uid="{00000000-0004-0000-0300-000013000000}"/>
    <hyperlink ref="F25" location="'USAGE'!A1" display="'USAGE'!A1" xr:uid="{00000000-0004-0000-0300-000014000000}"/>
    <hyperlink ref="F26" location="'USAGE'!A1" display="'USAGE'!A1" xr:uid="{00000000-0004-0000-0300-000015000000}"/>
    <hyperlink ref="F27" location="'USAGE'!A1" display="'USAGE'!A1" xr:uid="{00000000-0004-0000-0300-000016000000}"/>
    <hyperlink ref="F28" location="'USAGE'!A1" display="'USAGE'!A1" xr:uid="{00000000-0004-0000-0300-000017000000}"/>
    <hyperlink ref="F29" location="'USAGE'!A1" display="'USAGE'!A1" xr:uid="{00000000-0004-0000-0300-000018000000}"/>
    <hyperlink ref="F30" location="'USAGE'!A1" display="'USAGE'!A1" xr:uid="{00000000-0004-0000-0300-000019000000}"/>
    <hyperlink ref="F31" location="'USAGE'!A1" display="'USAGE'!A1" xr:uid="{00000000-0004-0000-0300-00001A000000}"/>
    <hyperlink ref="F32" location="'USAGE'!A1" display="'USAGE'!A1" xr:uid="{00000000-0004-0000-0300-00001B000000}"/>
    <hyperlink ref="F33" location="'USAGE'!A1" display="'USAGE'!A1" xr:uid="{00000000-0004-0000-0300-00001C000000}"/>
    <hyperlink ref="F34" location="'USAGE'!A1" display="'USAGE'!A1" xr:uid="{00000000-0004-0000-0300-00001D000000}"/>
    <hyperlink ref="F35" location="'USAGE'!A1" display="'USAGE'!A1" xr:uid="{00000000-0004-0000-0300-00001E000000}"/>
    <hyperlink ref="F36" location="'USAGE'!A1" display="'USAGE'!A1" xr:uid="{00000000-0004-0000-0300-00001F000000}"/>
    <hyperlink ref="F37" location="'USAGE'!A1" display="'USAGE'!A1" xr:uid="{00000000-0004-0000-0300-000020000000}"/>
    <hyperlink ref="F38" location="'USAGE'!A1" display="'USAGE'!A1" xr:uid="{00000000-0004-0000-0300-000021000000}"/>
    <hyperlink ref="F39" location="'USAGE'!A1" display="'USAGE'!A1" xr:uid="{00000000-0004-0000-0300-000022000000}"/>
    <hyperlink ref="F40" location="'USAGE'!A1" display="'USAGE'!A1" xr:uid="{00000000-0004-0000-0300-000023000000}"/>
    <hyperlink ref="F41" location="'USAGE'!A1" display="'USAGE'!A1" xr:uid="{00000000-0004-0000-0300-000024000000}"/>
    <hyperlink ref="F42" location="'USAGE'!A1" display="'USAGE'!A1" xr:uid="{00000000-0004-0000-0300-000025000000}"/>
    <hyperlink ref="F43" location="'USAGE'!A1" display="'USAGE'!A1" xr:uid="{00000000-0004-0000-0300-000026000000}"/>
    <hyperlink ref="F44" location="'USAGE'!A1" display="'USAGE'!A1" xr:uid="{00000000-0004-0000-0300-000027000000}"/>
    <hyperlink ref="F45" location="'USAGE'!A1" display="'USAGE'!A1" xr:uid="{00000000-0004-0000-0300-000028000000}"/>
    <hyperlink ref="F46" location="'USAGE'!A1" display="'USAGE'!A1" xr:uid="{00000000-0004-0000-0300-000029000000}"/>
    <hyperlink ref="F47" location="'USAGE'!A1" display="'USAGE'!A1" xr:uid="{00000000-0004-0000-0300-00002A000000}"/>
    <hyperlink ref="F48" location="'USAGE'!A1" display="'USAGE'!A1" xr:uid="{00000000-0004-0000-0300-00002B000000}"/>
    <hyperlink ref="F49" location="'USAGE'!A1" display="'USAGE'!A1" xr:uid="{00000000-0004-0000-0300-00002C000000}"/>
    <hyperlink ref="F50" location="'USAGE'!A1" display="'USAGE'!A1" xr:uid="{00000000-0004-0000-0300-00002D000000}"/>
    <hyperlink ref="F51" location="'USAGE'!A1" display="'USAGE'!A1" xr:uid="{00000000-0004-0000-0300-00002E000000}"/>
    <hyperlink ref="F52" location="'USAGE'!A1" display="'USAGE'!A1" xr:uid="{00000000-0004-0000-0300-00002F000000}"/>
    <hyperlink ref="F53" location="'USAGE'!A1" display="'USAGE'!A1" xr:uid="{00000000-0004-0000-0300-000030000000}"/>
    <hyperlink ref="F54" location="'USAGE'!A1" display="'USAGE'!A1" xr:uid="{00000000-0004-0000-0300-000031000000}"/>
    <hyperlink ref="F55" location="'USAGE'!A1" display="'USAGE'!A1" xr:uid="{00000000-0004-0000-0300-000032000000}"/>
    <hyperlink ref="F56" location="'USAGE'!A1" display="'USAGE'!A1" xr:uid="{00000000-0004-0000-0300-000033000000}"/>
    <hyperlink ref="F57" location="'USAGE'!A1" display="'USAGE'!A1" xr:uid="{00000000-0004-0000-0300-000034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64D42"/>
  </sheetPr>
  <dimension ref="A1:F66"/>
  <sheetViews>
    <sheetView showGridLines="0" zoomScale="80" workbookViewId="0"/>
  </sheetViews>
  <sheetFormatPr defaultRowHeight="12.45"/>
  <cols>
    <col min="1" max="1" width="6" customWidth="1"/>
    <col min="2" max="6" width="21" customWidth="1"/>
  </cols>
  <sheetData>
    <row r="1" spans="1:6" ht="30" customHeight="1">
      <c r="A1" s="77" t="str">
        <f>CHOOSE(DETAILS!$B$2,"Jak używać świec rytualnych","How to use ritual candles","Ritualkerzen richtig verwenden","Comment utiliser les bougies rituelles","Cómo utilizar las velas rituales","Come usare le candele rituali","Jak používat rituální svíčky","Ako používať rituálne sviečky")</f>
        <v>How to use ritual candles</v>
      </c>
      <c r="B1" s="78"/>
      <c r="C1" s="78"/>
      <c r="D1" s="78"/>
      <c r="E1" s="78"/>
      <c r="F1" s="78"/>
    </row>
    <row r="2" spans="1:6" ht="35.049999999999997" customHeight="1">
      <c r="A2" s="79" t="str">
        <f>CHOOSE(DETAILS!$B$2,"Instrukcja dla sklepu i klienta końcowego. Przekaż ją razem ze świecą.","Instructions for shops and end customers. Supply them with the candle.","Hinweise für Geschäfte und Endkunden. Bitte der Kerze beilegen.","Instructions pour les boutiques et leurs clients. À remettre avec la bougie.","Instrucciones para tiendas y clientes. Entréguelas junto con la vela.","Istruzioni per negozi e clienti finali. Consegnarle insieme alla candela.","Pokyny pro obchody a koncové zákazníky. Přiložte je ke svíčce.","Pokyny pre obchody a koncových zákazníkov. Priložte ich k sviečke.")</f>
        <v>Instructions for shops and end customers. Supply them with the candle.</v>
      </c>
      <c r="B2" s="78"/>
      <c r="C2" s="78"/>
      <c r="D2" s="78"/>
      <c r="E2" s="78"/>
      <c r="F2" s="78"/>
    </row>
    <row r="3" spans="1:6">
      <c r="A3" s="9"/>
      <c r="B3" s="9"/>
      <c r="C3" s="9"/>
      <c r="D3" s="9"/>
      <c r="E3" s="9"/>
      <c r="F3" s="9"/>
    </row>
    <row r="4" spans="1:6" ht="68.05" customHeight="1">
      <c r="A4" s="10">
        <v>1</v>
      </c>
      <c r="B4" s="80" t="str">
        <f>CHOOSE(DETAILS!$B$2,"Usuń całe opakowanie. Ustaw świecę pionowo w odpowiednim świeczniku na stabilnej, żaroodpornej powierzchni.","Remove all packaging. Place the candle upright in a suitable holder on a stable, heat-resistant surface.","Verpackung vollständig entfernen. Kerze aufrecht in einen passenden Halter auf eine stabile, hitzebeständige Fläche stellen.","Retirez tout emballage. Placez la bougie droite dans un support adapté sur une surface stable et résistante à la chaleur.","Retire todo el embalaje. Coloque la vela vertical en un soporte adecuado sobre una superficie estable y resistente al calor.","Rimuovere tutto l’imballaggio. Posizionare la candela verticalmente in un portacandele adatto, su una superficie stabile e resistente al calore.","Odstraňte veškerý obal. Svíčku postavte svisle do vhodného svícnu na stabilní žáruvzdorný povrch.","Odstráňte všetok obal. Sviečku postavte zvislo do vhodného svietnika na stabilný žiaruvzdorný povrch.")</f>
        <v>Remove all packaging. Place the candle upright in a suitable holder on a stable, heat-resistant surface.</v>
      </c>
      <c r="C4" s="81"/>
      <c r="D4" s="81"/>
      <c r="E4" s="81"/>
      <c r="F4" s="81"/>
    </row>
    <row r="5" spans="1:6" ht="68.05" customHeight="1">
      <c r="A5" s="9">
        <v>2</v>
      </c>
      <c r="B5" s="79" t="str">
        <f>CHOOSE(DETAILS!$B$2,"Zachowaj odstęp od materiałów łatwopalnych, przeciągów, dzieci i zwierząt.","Keep away from flammable materials, draughts, children and pets.","Von brennbaren Materialien, Zugluft, Kindern und Haustieren fernhalten.","Tenir à l’écart des matières inflammables, courants d’air, enfants et animaux.","Mantenga alejada de materiales inflamables, corrientes de aire, niños y mascotas.","Tenere lontano da materiali infiammabili, correnti d’aria, bambini e animali.","Uchovávejte mimo dosah hořlavých materiálů, průvanu, dětí a zvířat.","Uchovávajte mimo dosahu horľavých materiálov, prievanu, detí a zvierat.")</f>
        <v>Keep away from flammable materials, draughts, children and pets.</v>
      </c>
      <c r="C5" s="78"/>
      <c r="D5" s="78"/>
      <c r="E5" s="78"/>
      <c r="F5" s="78"/>
    </row>
    <row r="6" spans="1:6" ht="68.05" customHeight="1">
      <c r="A6" s="10">
        <v>3</v>
      </c>
      <c r="B6" s="80" t="str">
        <f>CHOOSE(DETAILS!$B$2,"Jeśli używasz świecy intencyjnie, przed zapaleniem poświęć chwilę na wybraną intencję. Nie ma obowiązku wypalania całej świecy naraz.","If using the candle for an intention, take a moment to focus before lighting it. You do not need to burn the whole candle in one session.","Bei einer Intention vor dem Anzünden kurz innehalten. Die Kerze muss nicht in einer Sitzung vollständig abbrennen.","Pour un usage intentionnel, prenez un instant pour vous concentrer avant l’allumage. Il n’est pas nécessaire de brûler toute la bougie en une fois.","Para un uso intencional, concéntrese un momento antes de encenderla. No es necesario consumir toda la vela en una sesión.","Se si usa la candela con un’intenzione, concentrarsi un momento prima di accenderla. Non è necessario consumarla interamente in una sola volta.","Pokud svíčku používáte se záměrem, před zapálením se na chvíli soustřeďte. Nemusíte ji nechat dohořet během jednoho použití.","Ak sviečku používate so zámerom, pred zapálením sa na chvíľu sústreďte. Nemusíte ju nechať dohorieť počas jedného použitia.")</f>
        <v>If using the candle for an intention, take a moment to focus before lighting it. You do not need to burn the whole candle in one session.</v>
      </c>
      <c r="C6" s="81"/>
      <c r="D6" s="81"/>
      <c r="E6" s="81"/>
      <c r="F6" s="81"/>
    </row>
    <row r="7" spans="1:6" ht="68.05" customHeight="1">
      <c r="A7" s="9">
        <v>4</v>
      </c>
      <c r="B7" s="79" t="str">
        <f>CHOOSE(DETAILS!$B$2,"Zapal knot. Nigdy nie zostawiaj płonącej świecy bez nadzoru ani nie przenoś jej, gdy wosk jest gorący.","Light the wick. Never leave a burning candle unattended or move it while the wax is hot.","Docht anzünden. Brennende Kerzen nie unbeaufsichtigt lassen und bei heißem Wachs nicht bewegen.","Allumez la mèche. Ne laissez jamais la bougie sans surveillance et ne la déplacez pas lorsque la cire est chaude.","Encienda la mecha. Nunca deje la vela encendida sin vigilancia ni la mueva mientras la cera esté caliente.","Accendere lo stoppino. Non lasciare mai una candela accesa incustodita e non spostarla quando la cera è calda.","Zapalte knot. Hořící svíčku nikdy nenechávejte bez dozoru ani ji nepřemisťujte, dokud je vosk horký.","Zapáľte knôt. Horiacu sviečku nikdy nenechávajte bez dozoru ani ju nepremiestňujte, kým je vosk horúci.")</f>
        <v>Light the wick. Never leave a burning candle unattended or move it while the wax is hot.</v>
      </c>
      <c r="C7" s="78"/>
      <c r="D7" s="78"/>
      <c r="E7" s="78"/>
      <c r="F7" s="78"/>
    </row>
    <row r="8" spans="1:6" ht="68.05" customHeight="1">
      <c r="A8" s="10">
        <v>5</v>
      </c>
      <c r="B8" s="80" t="str">
        <f>CHOOSE(DETAILS!$B$2,"Nie dodawaj do płomienia ani roztopionego wosku ziół, olejków ani innych materiałów. Przy wysokim płomieniu, silnym dymieniu lub zapaleniu dekoracji zgaś świecę.","Do not add herbs, oils or other materials to the flame or melted wax. Extinguish the candle if the flame grows high, it smokes heavily or decorations ignite.","Keine Kräuter, Öle oder anderen Materialien in Flamme oder flüssiges Wachs geben. Bei hoher Flamme, starkem Rauch oder brennender Dekoration löschen.","N’ajoutez ni plantes, ni huiles, ni autres matières à la flamme ou à la cire fondue. Éteignez si la flamme grandit, si la fumée devient forte ou si un décor s’enflamme.","No añada hierbas, aceites u otros materiales a la llama o a la cera fundida. Apague la vela si la llama crece, hay mucho humo o se encienden adornos.","Non aggiungere erbe, oli o altri materiali alla fiamma o alla cera fusa. Spegnere la candela se la fiamma diventa alta, produce molto fumo o le decorazioni prendono fuoco.","Do plamene ani roztaveného vosku nepřidávejte byliny, oleje ani jiné materiály. Svíčku zhasněte, pokud plamen příliš vzroste, silně kouří nebo se vznítí ozdoby.","Do plameňa ani roztaveného vosku nepridávajte byliny, oleje ani iné materiály. Sviečku zhasnite, ak plameň príliš narastie, silno dymí alebo sa vznietia ozdoby.")</f>
        <v>Do not add herbs, oils or other materials to the flame or melted wax. Extinguish the candle if the flame grows high, it smokes heavily or decorations ignite.</v>
      </c>
      <c r="C8" s="81"/>
      <c r="D8" s="81"/>
      <c r="E8" s="81"/>
      <c r="F8" s="81"/>
    </row>
    <row r="9" spans="1:6" ht="68.05" customHeight="1">
      <c r="A9" s="9">
        <v>6</v>
      </c>
      <c r="B9" s="79" t="str">
        <f>CHOOSE(DETAILS!$B$2,"Zgaś świecę gasidłem, zanim dopali się do podstawy. Nie używaj wody. Poczekaj, aż wosk i świecznik ostygną.","Use a snuffer to extinguish the candle before it burns down to the base. Do not use water. Let the wax and holder cool.","Mit einem Kerzenlöscher löschen, bevor die Kerze bis zum Sockel abbrennt. Kein Wasser verwenden. Wachs und Halter abkühlen lassen.","Éteignez avec un éteignoir avant que la bougie atteigne sa base. N’utilisez pas d’eau. Laissez refroidir la cire et le support.","Apague con un apagavelas antes de que llegue a la base. No use agua. Deje enfriar la cera y el soporte.","Spegnere con uno spegnicandela prima che la candela bruci fino alla base. Non usare acqua. Lasciare raffreddare la cera e il portacandele.","Svíčku zhasněte zhášedlem dříve, než dohoří k podstavci. Nepoužívejte vodu. Nechte vosk i svícen vychladnout.","Sviečku zhasnite zhasínačom skôr, než dohorí k podstavcu. Nepoužívajte vodu. Nechajte vosk aj svietnik vychladnúť.")</f>
        <v>Use a snuffer to extinguish the candle before it burns down to the base. Do not use water. Let the wax and holder cool.</v>
      </c>
      <c r="C9" s="78"/>
      <c r="D9" s="78"/>
      <c r="E9" s="78"/>
      <c r="F9" s="78"/>
    </row>
    <row r="10" spans="1:6">
      <c r="A10" s="9"/>
      <c r="B10" s="9"/>
      <c r="C10" s="9"/>
      <c r="D10" s="9"/>
      <c r="E10" s="9"/>
      <c r="F10" s="9"/>
    </row>
    <row r="11" spans="1:6" ht="30" customHeight="1">
      <c r="A11" s="79" t="str">
        <f>CHOOSE(DETAILS!$B$2,"Przechowuj w chłodnym, suchym miejscu, z dala od słońca i źródeł ciepła. Zachowaj etykietę i instrukcję producenta.","Store in a cool, dry place away from sunlight and heat. Keep the manufacturer’s label and instructions.","Kühl und trocken, vor Sonne und Wärme geschützt lagern. Herstelleretikett und Anleitung aufbewahren.","Conserver au frais et au sec, à l’abri du soleil et de la chaleur. Garder l’étiquette et les instructions du fabricant.","Guarde en un lugar fresco y seco, lejos del sol y del calor. Conserve la etiqueta y las instrucciones del fabricante.","Conservare in un luogo fresco e asciutto, lontano dalla luce solare e dal calore. Conservare l’etichetta e le istruzioni del produttore.","Skladujte na chladném a suchém místě mimo sluneční světlo a teplo. Uschovejte štítek výrobce a návod.","Skladujte na chladnom a suchom mieste mimo slnečného svetla a tepla. Uschovajte štítok výrobcu a návod.")</f>
        <v>Store in a cool, dry place away from sunlight and heat. Keep the manufacturer’s label and instructions.</v>
      </c>
      <c r="B11" s="78"/>
      <c r="C11" s="78"/>
      <c r="D11" s="78"/>
      <c r="E11" s="78"/>
      <c r="F11" s="78"/>
    </row>
    <row r="12" spans="1:6" ht="30" customHeight="1">
      <c r="A12" s="78"/>
      <c r="B12" s="78"/>
      <c r="C12" s="78"/>
      <c r="D12" s="78"/>
      <c r="E12" s="78"/>
      <c r="F12" s="78"/>
    </row>
    <row r="13" spans="1:6">
      <c r="A13" s="9"/>
      <c r="B13" s="9"/>
      <c r="C13" s="9"/>
      <c r="D13" s="9"/>
      <c r="E13" s="9"/>
      <c r="F13" s="9"/>
    </row>
    <row r="14" spans="1:6">
      <c r="A14" s="78" t="s">
        <v>17</v>
      </c>
      <c r="B14" s="78"/>
      <c r="C14" s="78"/>
      <c r="D14" s="78"/>
      <c r="E14" s="78"/>
      <c r="F14" s="78"/>
    </row>
    <row r="15" spans="1:6">
      <c r="A15" s="78" t="s">
        <v>18</v>
      </c>
      <c r="B15" s="78"/>
      <c r="C15" s="78"/>
      <c r="D15" s="78"/>
      <c r="E15" s="78"/>
      <c r="F15" s="78"/>
    </row>
    <row r="16" spans="1:6">
      <c r="A16" s="9"/>
      <c r="B16" s="9"/>
      <c r="C16" s="9"/>
      <c r="D16" s="9"/>
      <c r="E16" s="9"/>
      <c r="F16" s="9"/>
    </row>
    <row r="17" spans="1:6">
      <c r="A17" s="9"/>
      <c r="B17" s="9"/>
      <c r="C17" s="9"/>
      <c r="D17" s="9"/>
      <c r="E17" s="9"/>
      <c r="F17" s="9"/>
    </row>
    <row r="18" spans="1:6">
      <c r="A18" s="9"/>
      <c r="B18" s="9"/>
      <c r="C18" s="9"/>
      <c r="D18" s="9"/>
      <c r="E18" s="9"/>
      <c r="F18" s="9"/>
    </row>
    <row r="19" spans="1:6">
      <c r="A19" s="9"/>
      <c r="B19" s="9"/>
      <c r="C19" s="9"/>
      <c r="D19" s="9"/>
      <c r="E19" s="9"/>
      <c r="F19" s="9"/>
    </row>
    <row r="20" spans="1:6">
      <c r="A20" s="9"/>
      <c r="B20" s="9"/>
      <c r="C20" s="9"/>
      <c r="D20" s="9"/>
      <c r="E20" s="9"/>
      <c r="F20" s="9"/>
    </row>
    <row r="21" spans="1:6">
      <c r="A21" s="9"/>
      <c r="B21" s="9"/>
      <c r="C21" s="9"/>
      <c r="D21" s="9"/>
      <c r="E21" s="9"/>
      <c r="F21" s="9"/>
    </row>
    <row r="22" spans="1:6">
      <c r="A22" s="9"/>
      <c r="B22" s="9"/>
      <c r="C22" s="9"/>
      <c r="D22" s="9"/>
      <c r="E22" s="9"/>
      <c r="F22" s="9"/>
    </row>
    <row r="23" spans="1:6">
      <c r="A23" s="9"/>
      <c r="B23" s="9"/>
      <c r="C23" s="9"/>
      <c r="D23" s="9"/>
      <c r="E23" s="9"/>
      <c r="F23" s="9"/>
    </row>
    <row r="24" spans="1:6">
      <c r="A24" s="9"/>
      <c r="B24" s="9"/>
      <c r="C24" s="9"/>
      <c r="D24" s="9"/>
      <c r="E24" s="9"/>
      <c r="F24" s="9"/>
    </row>
    <row r="25" spans="1:6">
      <c r="A25" s="9"/>
      <c r="B25" s="9"/>
      <c r="C25" s="9"/>
      <c r="D25" s="9"/>
      <c r="E25" s="9"/>
      <c r="F25" s="9"/>
    </row>
    <row r="26" spans="1:6">
      <c r="A26" s="9"/>
      <c r="B26" s="9"/>
      <c r="C26" s="9"/>
      <c r="D26" s="9"/>
      <c r="E26" s="9"/>
      <c r="F26" s="9"/>
    </row>
    <row r="27" spans="1:6">
      <c r="A27" s="9"/>
      <c r="B27" s="9"/>
      <c r="C27" s="9"/>
      <c r="D27" s="9"/>
      <c r="E27" s="9"/>
      <c r="F27" s="9"/>
    </row>
    <row r="28" spans="1:6">
      <c r="A28" s="9"/>
      <c r="B28" s="9"/>
      <c r="C28" s="9"/>
      <c r="D28" s="9"/>
      <c r="E28" s="9"/>
      <c r="F28" s="9"/>
    </row>
    <row r="29" spans="1:6">
      <c r="A29" s="9"/>
      <c r="B29" s="9"/>
      <c r="C29" s="9"/>
      <c r="D29" s="9"/>
      <c r="E29" s="9"/>
      <c r="F29" s="9"/>
    </row>
    <row r="30" spans="1:6">
      <c r="A30" s="9"/>
      <c r="B30" s="9"/>
      <c r="C30" s="9"/>
      <c r="D30" s="9"/>
      <c r="E30" s="9"/>
      <c r="F30" s="9"/>
    </row>
    <row r="31" spans="1:6">
      <c r="A31" s="9"/>
      <c r="B31" s="9"/>
      <c r="C31" s="9"/>
      <c r="D31" s="9"/>
      <c r="E31" s="9"/>
      <c r="F31" s="9"/>
    </row>
    <row r="32" spans="1:6">
      <c r="A32" s="9"/>
      <c r="B32" s="9"/>
      <c r="C32" s="9"/>
      <c r="D32" s="9"/>
      <c r="E32" s="9"/>
      <c r="F32" s="9"/>
    </row>
    <row r="33" spans="1:6">
      <c r="A33" s="9"/>
      <c r="B33" s="9"/>
      <c r="C33" s="9"/>
      <c r="D33" s="9"/>
      <c r="E33" s="9"/>
      <c r="F33" s="9"/>
    </row>
    <row r="34" spans="1:6">
      <c r="A34" s="9"/>
      <c r="B34" s="9"/>
      <c r="C34" s="9"/>
      <c r="D34" s="9"/>
      <c r="E34" s="9"/>
      <c r="F34" s="9"/>
    </row>
    <row r="35" spans="1:6">
      <c r="A35" s="9"/>
      <c r="B35" s="9"/>
      <c r="C35" s="9"/>
      <c r="D35" s="9"/>
      <c r="E35" s="9"/>
      <c r="F35" s="9"/>
    </row>
    <row r="36" spans="1:6">
      <c r="A36" s="9"/>
      <c r="B36" s="9"/>
      <c r="C36" s="9"/>
      <c r="D36" s="9"/>
      <c r="E36" s="9"/>
      <c r="F36" s="9"/>
    </row>
    <row r="37" spans="1:6">
      <c r="A37" s="9"/>
      <c r="B37" s="9"/>
      <c r="C37" s="9"/>
      <c r="D37" s="9"/>
      <c r="E37" s="9"/>
      <c r="F37" s="9"/>
    </row>
    <row r="38" spans="1:6">
      <c r="A38" s="9"/>
      <c r="B38" s="9"/>
      <c r="C38" s="9"/>
      <c r="D38" s="9"/>
      <c r="E38" s="9"/>
      <c r="F38" s="9"/>
    </row>
    <row r="39" spans="1:6">
      <c r="A39" s="9"/>
      <c r="B39" s="9"/>
      <c r="C39" s="9"/>
      <c r="D39" s="9"/>
      <c r="E39" s="9"/>
      <c r="F39" s="9"/>
    </row>
    <row r="40" spans="1:6">
      <c r="A40" s="9"/>
      <c r="B40" s="9"/>
      <c r="C40" s="9"/>
      <c r="D40" s="9"/>
      <c r="E40" s="9"/>
      <c r="F40" s="9"/>
    </row>
    <row r="41" spans="1:6">
      <c r="A41" s="9"/>
      <c r="B41" s="9"/>
      <c r="C41" s="9"/>
      <c r="D41" s="9"/>
      <c r="E41" s="9"/>
      <c r="F41" s="9"/>
    </row>
    <row r="42" spans="1:6">
      <c r="A42" s="9"/>
      <c r="B42" s="9"/>
      <c r="C42" s="9"/>
      <c r="D42" s="9"/>
      <c r="E42" s="9"/>
      <c r="F42" s="9"/>
    </row>
    <row r="43" spans="1:6">
      <c r="A43" s="9"/>
      <c r="B43" s="9"/>
      <c r="C43" s="9"/>
      <c r="D43" s="9"/>
      <c r="E43" s="9"/>
      <c r="F43" s="9"/>
    </row>
    <row r="44" spans="1:6">
      <c r="A44" s="9"/>
      <c r="B44" s="9"/>
      <c r="C44" s="9"/>
      <c r="D44" s="9"/>
      <c r="E44" s="9"/>
      <c r="F44" s="9"/>
    </row>
    <row r="45" spans="1:6">
      <c r="A45" s="9"/>
      <c r="B45" s="9"/>
      <c r="C45" s="9"/>
      <c r="D45" s="9"/>
      <c r="E45" s="9"/>
      <c r="F45" s="9"/>
    </row>
    <row r="46" spans="1:6">
      <c r="A46" s="9"/>
      <c r="B46" s="9"/>
      <c r="C46" s="9"/>
      <c r="D46" s="9"/>
      <c r="E46" s="9"/>
      <c r="F46" s="9"/>
    </row>
    <row r="47" spans="1:6">
      <c r="A47" s="9"/>
      <c r="B47" s="9"/>
      <c r="C47" s="9"/>
      <c r="D47" s="9"/>
      <c r="E47" s="9"/>
      <c r="F47" s="9"/>
    </row>
    <row r="48" spans="1:6">
      <c r="A48" s="9"/>
      <c r="B48" s="9"/>
      <c r="C48" s="9"/>
      <c r="D48" s="9"/>
      <c r="E48" s="9"/>
      <c r="F48" s="9"/>
    </row>
    <row r="49" spans="1:6">
      <c r="A49" s="9"/>
      <c r="B49" s="9"/>
      <c r="C49" s="9"/>
      <c r="D49" s="9"/>
      <c r="E49" s="9"/>
      <c r="F49" s="9"/>
    </row>
    <row r="50" spans="1:6">
      <c r="A50" s="9"/>
      <c r="B50" s="9"/>
      <c r="C50" s="9"/>
      <c r="D50" s="9"/>
      <c r="E50" s="9"/>
      <c r="F50" s="9"/>
    </row>
    <row r="51" spans="1:6">
      <c r="A51" s="9"/>
      <c r="B51" s="9"/>
      <c r="C51" s="9"/>
      <c r="D51" s="9"/>
      <c r="E51" s="9"/>
      <c r="F51" s="9"/>
    </row>
    <row r="52" spans="1:6">
      <c r="A52" s="9"/>
      <c r="B52" s="9"/>
      <c r="C52" s="9"/>
      <c r="D52" s="9"/>
      <c r="E52" s="9"/>
      <c r="F52" s="9"/>
    </row>
    <row r="53" spans="1:6">
      <c r="A53" s="9"/>
      <c r="B53" s="9"/>
      <c r="C53" s="9"/>
      <c r="D53" s="9"/>
      <c r="E53" s="9"/>
      <c r="F53" s="9"/>
    </row>
    <row r="54" spans="1:6">
      <c r="A54" s="9"/>
      <c r="B54" s="9"/>
      <c r="C54" s="9"/>
      <c r="D54" s="9"/>
      <c r="E54" s="9"/>
      <c r="F54" s="9"/>
    </row>
    <row r="55" spans="1:6">
      <c r="A55" s="9"/>
      <c r="B55" s="9"/>
      <c r="C55" s="9"/>
      <c r="D55" s="9"/>
      <c r="E55" s="9"/>
      <c r="F55" s="9"/>
    </row>
    <row r="56" spans="1:6">
      <c r="A56" s="9"/>
      <c r="B56" s="9"/>
      <c r="C56" s="9"/>
      <c r="D56" s="9"/>
      <c r="E56" s="9"/>
      <c r="F56" s="9"/>
    </row>
    <row r="57" spans="1:6">
      <c r="A57" s="9"/>
      <c r="B57" s="9"/>
      <c r="C57" s="9"/>
      <c r="D57" s="9"/>
      <c r="E57" s="9"/>
      <c r="F57" s="9"/>
    </row>
    <row r="58" spans="1:6">
      <c r="A58" s="9"/>
      <c r="B58" s="9"/>
      <c r="C58" s="9"/>
      <c r="D58" s="9"/>
      <c r="E58" s="9"/>
      <c r="F58" s="9"/>
    </row>
    <row r="59" spans="1:6">
      <c r="A59" s="9"/>
      <c r="B59" s="9"/>
      <c r="C59" s="9"/>
      <c r="D59" s="9"/>
      <c r="E59" s="9"/>
      <c r="F59" s="9"/>
    </row>
    <row r="60" spans="1:6">
      <c r="A60" s="9"/>
      <c r="B60" s="9"/>
      <c r="C60" s="9"/>
      <c r="D60" s="9"/>
      <c r="E60" s="9"/>
      <c r="F60" s="9"/>
    </row>
    <row r="61" spans="1:6">
      <c r="A61" s="9"/>
      <c r="B61" s="9"/>
      <c r="C61" s="9"/>
      <c r="D61" s="9"/>
      <c r="E61" s="9"/>
      <c r="F61" s="9"/>
    </row>
    <row r="62" spans="1:6">
      <c r="A62" s="9"/>
      <c r="B62" s="9"/>
      <c r="C62" s="9"/>
      <c r="D62" s="9"/>
      <c r="E62" s="9"/>
      <c r="F62" s="9"/>
    </row>
    <row r="63" spans="1:6">
      <c r="A63" s="9"/>
      <c r="B63" s="9"/>
      <c r="C63" s="9"/>
      <c r="D63" s="9"/>
      <c r="E63" s="9"/>
      <c r="F63" s="9"/>
    </row>
    <row r="64" spans="1:6">
      <c r="A64" s="9"/>
      <c r="B64" s="9"/>
      <c r="C64" s="9"/>
      <c r="D64" s="9"/>
      <c r="E64" s="9"/>
      <c r="F64" s="9"/>
    </row>
    <row r="65" spans="1:6">
      <c r="A65" s="9"/>
      <c r="B65" s="9"/>
      <c r="C65" s="9"/>
      <c r="D65" s="9"/>
      <c r="E65" s="9"/>
      <c r="F65" s="9"/>
    </row>
    <row r="66" spans="1:6">
      <c r="A66" s="9"/>
      <c r="B66" s="9"/>
      <c r="C66" s="9"/>
      <c r="D66" s="9"/>
      <c r="E66" s="9"/>
      <c r="F66" s="9"/>
    </row>
  </sheetData>
  <mergeCells count="11">
    <mergeCell ref="A1:F1"/>
    <mergeCell ref="A2:F2"/>
    <mergeCell ref="B4:F4"/>
    <mergeCell ref="B5:F5"/>
    <mergeCell ref="B6:F6"/>
    <mergeCell ref="A15:F15"/>
    <mergeCell ref="B7:F7"/>
    <mergeCell ref="B8:F8"/>
    <mergeCell ref="B9:F9"/>
    <mergeCell ref="A11:F12"/>
    <mergeCell ref="A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57"/>
  <sheetViews>
    <sheetView showGridLines="0" zoomScale="80" workbookViewId="0">
      <pane ySplit="4" topLeftCell="A5" activePane="bottomLeft" state="frozen"/>
      <selection pane="bottomLeft" activeCell="A5" sqref="A5"/>
    </sheetView>
  </sheetViews>
  <sheetFormatPr defaultRowHeight="12.45"/>
  <cols>
    <col min="1" max="1" width="19" customWidth="1"/>
    <col min="2" max="16" width="12" customWidth="1"/>
  </cols>
  <sheetData>
    <row r="1" spans="1:16">
      <c r="A1" s="82" t="str">
        <f>CHOOSE(DETAILS!$B$2,"Ceny dostawcy w PLN — edycja","Supplier prices in PLN — edit here","Lieferantenpreise in PLN — hier bearbeiten","Prix fournisseur en PLN — modification","Precios del proveedor en PLN — editar","Prezzi fornitore in PLN — modifica","Ceny dodavatele v PLN — úpravy","Ceny dodávateľa v PLN — úpravy")</f>
        <v>Supplier prices in PLN — edit here</v>
      </c>
      <c r="B1" s="82"/>
      <c r="C1" s="82"/>
      <c r="D1" s="82"/>
      <c r="E1" s="82"/>
      <c r="F1" s="82"/>
      <c r="G1" s="82"/>
      <c r="H1" s="82"/>
      <c r="I1" s="82"/>
      <c r="J1" s="82"/>
      <c r="K1" s="82"/>
      <c r="L1" s="82"/>
      <c r="M1" s="82"/>
      <c r="N1" s="82"/>
      <c r="O1" s="82"/>
      <c r="P1" s="82"/>
    </row>
    <row r="2" spans="1:16">
      <c r="A2" s="82"/>
      <c r="B2" s="82"/>
      <c r="C2" s="82"/>
      <c r="D2" s="82"/>
      <c r="E2" s="82"/>
      <c r="F2" s="82"/>
      <c r="G2" s="82"/>
      <c r="H2" s="82"/>
      <c r="I2" s="82"/>
      <c r="J2" s="82"/>
      <c r="K2" s="82"/>
      <c r="L2" s="82"/>
      <c r="M2" s="82"/>
      <c r="N2" s="82"/>
      <c r="O2" s="82"/>
      <c r="P2" s="82"/>
    </row>
    <row r="3" spans="1:16">
      <c r="A3" s="20"/>
      <c r="B3" s="20"/>
      <c r="C3" s="20"/>
      <c r="D3" s="20"/>
      <c r="E3" s="20"/>
      <c r="F3" s="20"/>
      <c r="G3" s="20"/>
      <c r="H3" s="20"/>
      <c r="I3" s="20"/>
      <c r="J3" s="20"/>
      <c r="K3" s="20"/>
      <c r="L3" s="20"/>
      <c r="M3" s="20"/>
      <c r="N3" s="20"/>
      <c r="O3" s="20"/>
      <c r="P3" s="20"/>
    </row>
    <row r="4" spans="1:16" ht="42" customHeight="1">
      <c r="A4" s="54" t="s">
        <v>19</v>
      </c>
      <c r="B4" s="54" t="str">
        <f>CHOOSE(DETAILS!$B$2,"Cena bazowa","Reference price","Basispreis","Prix de référence","Precio base","Prezzo di riferimento","Základní cena","Základná cena")</f>
        <v>Reference price</v>
      </c>
      <c r="C4" s="54" t="str">
        <f>CHOOSE(DETAILS!$B$2,"Sztuk / jednostkę","Pieces / unit","Stück / Einheit","Pièces / unité","Piezas / unidad","Pezzi / unità","Kusů / jednotku","Kusov / jednotku")</f>
        <v>Pieces / unit</v>
      </c>
      <c r="D4" s="54" t="str">
        <f>CHOOSE(DETAILS!$B$2,"Minimum, jedn.","Minimum, units","Minimum, Einheiten","Minimum, unités","Mínimo, unidades","Minimo, unità","Minimum, jednotky","Minimum, jednotky")</f>
        <v>Minimum, units</v>
      </c>
      <c r="E4" s="54" t="s">
        <v>161</v>
      </c>
      <c r="F4" s="54">
        <v>1</v>
      </c>
      <c r="G4" s="54">
        <v>5</v>
      </c>
      <c r="H4" s="54">
        <v>10</v>
      </c>
      <c r="I4" s="54">
        <v>20</v>
      </c>
      <c r="J4" s="54">
        <v>25</v>
      </c>
      <c r="K4" s="54">
        <v>30</v>
      </c>
      <c r="L4" s="54">
        <v>50</v>
      </c>
      <c r="M4" s="54">
        <v>100</v>
      </c>
      <c r="N4" s="54">
        <v>250</v>
      </c>
      <c r="O4" s="54">
        <v>500</v>
      </c>
      <c r="P4" s="54">
        <v>1000</v>
      </c>
    </row>
    <row r="5" spans="1:16">
      <c r="A5" s="20" t="s">
        <v>108</v>
      </c>
      <c r="B5" s="55">
        <v>6.1</v>
      </c>
      <c r="C5" s="56">
        <v>1</v>
      </c>
      <c r="D5" s="56">
        <v>10</v>
      </c>
      <c r="E5" s="56">
        <v>1</v>
      </c>
      <c r="F5" s="55">
        <v>6.1</v>
      </c>
      <c r="G5" s="55">
        <v>6.1</v>
      </c>
      <c r="H5" s="55">
        <v>5.2460000000000004</v>
      </c>
      <c r="I5" s="55">
        <v>4.9494999999999996</v>
      </c>
      <c r="J5" s="55">
        <v>4.9494999999999996</v>
      </c>
      <c r="K5" s="55">
        <v>4.9494999999999996</v>
      </c>
      <c r="L5" s="55">
        <v>4.4997999999999996</v>
      </c>
      <c r="M5" s="55">
        <f t="shared" ref="M5:M17" si="0">ROUND($B5*(1-0.3),4)</f>
        <v>4.2699999999999996</v>
      </c>
      <c r="N5" s="55">
        <v>4.08</v>
      </c>
      <c r="O5" s="55">
        <v>3.4</v>
      </c>
      <c r="P5" s="55">
        <v>3.2</v>
      </c>
    </row>
    <row r="6" spans="1:16">
      <c r="A6" s="20" t="s">
        <v>109</v>
      </c>
      <c r="B6" s="55">
        <v>6.1</v>
      </c>
      <c r="C6" s="56">
        <v>1</v>
      </c>
      <c r="D6" s="56">
        <v>10</v>
      </c>
      <c r="E6" s="56">
        <v>1</v>
      </c>
      <c r="F6" s="55">
        <v>6.1</v>
      </c>
      <c r="G6" s="55">
        <v>6.1</v>
      </c>
      <c r="H6" s="55">
        <v>5.2460000000000004</v>
      </c>
      <c r="I6" s="55">
        <v>4.9494999999999996</v>
      </c>
      <c r="J6" s="55">
        <v>4.9494999999999996</v>
      </c>
      <c r="K6" s="55">
        <v>4.9494999999999996</v>
      </c>
      <c r="L6" s="55">
        <v>4.4997999999999996</v>
      </c>
      <c r="M6" s="55">
        <f t="shared" si="0"/>
        <v>4.2699999999999996</v>
      </c>
      <c r="N6" s="55">
        <v>4.08</v>
      </c>
      <c r="O6" s="55">
        <v>3.4</v>
      </c>
      <c r="P6" s="55">
        <v>3.2</v>
      </c>
    </row>
    <row r="7" spans="1:16">
      <c r="A7" s="20" t="s">
        <v>110</v>
      </c>
      <c r="B7" s="55">
        <v>5.4</v>
      </c>
      <c r="C7" s="56">
        <v>1</v>
      </c>
      <c r="D7" s="56">
        <v>10</v>
      </c>
      <c r="E7" s="56">
        <v>1</v>
      </c>
      <c r="F7" s="55">
        <v>5.4</v>
      </c>
      <c r="G7" s="55">
        <v>5.4</v>
      </c>
      <c r="H7" s="55">
        <v>4.806</v>
      </c>
      <c r="I7" s="55">
        <v>4.5359999999999996</v>
      </c>
      <c r="J7" s="55">
        <v>4.5359999999999996</v>
      </c>
      <c r="K7" s="55">
        <v>4.5359999999999996</v>
      </c>
      <c r="L7" s="55">
        <v>4.1040000000000001</v>
      </c>
      <c r="M7" s="55">
        <f t="shared" si="0"/>
        <v>3.78</v>
      </c>
      <c r="N7" s="55">
        <v>3.6179999999999999</v>
      </c>
      <c r="O7" s="55">
        <v>3.4</v>
      </c>
      <c r="P7" s="55">
        <v>3.2</v>
      </c>
    </row>
    <row r="8" spans="1:16">
      <c r="A8" s="20" t="s">
        <v>111</v>
      </c>
      <c r="B8" s="55">
        <v>5.4</v>
      </c>
      <c r="C8" s="56">
        <v>1</v>
      </c>
      <c r="D8" s="56">
        <v>10</v>
      </c>
      <c r="E8" s="56">
        <v>1</v>
      </c>
      <c r="F8" s="55">
        <v>5.4</v>
      </c>
      <c r="G8" s="55">
        <v>5.4</v>
      </c>
      <c r="H8" s="55">
        <v>4.806</v>
      </c>
      <c r="I8" s="55">
        <v>4.5359999999999996</v>
      </c>
      <c r="J8" s="55">
        <v>4.5359999999999996</v>
      </c>
      <c r="K8" s="55">
        <v>4.5359999999999996</v>
      </c>
      <c r="L8" s="55">
        <v>4.1040000000000001</v>
      </c>
      <c r="M8" s="55">
        <f t="shared" si="0"/>
        <v>3.78</v>
      </c>
      <c r="N8" s="55">
        <v>3.6179999999999999</v>
      </c>
      <c r="O8" s="55">
        <v>3.4</v>
      </c>
      <c r="P8" s="55">
        <v>3.2</v>
      </c>
    </row>
    <row r="9" spans="1:16">
      <c r="A9" s="20" t="s">
        <v>112</v>
      </c>
      <c r="B9" s="55">
        <v>6.4</v>
      </c>
      <c r="C9" s="56">
        <v>1</v>
      </c>
      <c r="D9" s="56">
        <v>10</v>
      </c>
      <c r="E9" s="56">
        <v>1</v>
      </c>
      <c r="F9" s="55">
        <v>6.4</v>
      </c>
      <c r="G9" s="55">
        <v>6.4</v>
      </c>
      <c r="H9" s="55">
        <v>5.6959999999999997</v>
      </c>
      <c r="I9" s="55">
        <v>5.3760000000000003</v>
      </c>
      <c r="J9" s="55">
        <v>5.3760000000000003</v>
      </c>
      <c r="K9" s="55">
        <v>5.3760000000000003</v>
      </c>
      <c r="L9" s="55">
        <v>4.8639999999999999</v>
      </c>
      <c r="M9" s="55">
        <f t="shared" si="0"/>
        <v>4.4800000000000004</v>
      </c>
      <c r="N9" s="55">
        <v>4.2880000000000003</v>
      </c>
      <c r="O9" s="55">
        <v>3.4</v>
      </c>
      <c r="P9" s="55">
        <v>3.2</v>
      </c>
    </row>
    <row r="10" spans="1:16">
      <c r="A10" s="20" t="s">
        <v>113</v>
      </c>
      <c r="B10" s="55">
        <v>5.2</v>
      </c>
      <c r="C10" s="56">
        <v>1</v>
      </c>
      <c r="D10" s="56">
        <v>10</v>
      </c>
      <c r="E10" s="56">
        <v>1</v>
      </c>
      <c r="F10" s="55">
        <v>5.2</v>
      </c>
      <c r="G10" s="55">
        <v>5.2</v>
      </c>
      <c r="H10" s="55">
        <v>4.4720000000000004</v>
      </c>
      <c r="I10" s="55">
        <v>4.2119999999999997</v>
      </c>
      <c r="J10" s="55">
        <v>4.2119999999999997</v>
      </c>
      <c r="K10" s="55">
        <v>4.2119999999999997</v>
      </c>
      <c r="L10" s="55">
        <v>3.8479999999999999</v>
      </c>
      <c r="M10" s="55">
        <f t="shared" si="0"/>
        <v>3.64</v>
      </c>
      <c r="N10" s="55">
        <v>3.484</v>
      </c>
      <c r="O10" s="55">
        <v>3.4</v>
      </c>
      <c r="P10" s="55">
        <v>3.2</v>
      </c>
    </row>
    <row r="11" spans="1:16">
      <c r="A11" s="20" t="s">
        <v>114</v>
      </c>
      <c r="B11" s="55">
        <v>5.4</v>
      </c>
      <c r="C11" s="56">
        <v>1</v>
      </c>
      <c r="D11" s="56">
        <v>10</v>
      </c>
      <c r="E11" s="56">
        <v>1</v>
      </c>
      <c r="F11" s="55">
        <v>5.4</v>
      </c>
      <c r="G11" s="55">
        <v>5.4</v>
      </c>
      <c r="H11" s="55">
        <v>4.806</v>
      </c>
      <c r="I11" s="55">
        <v>4.5359999999999996</v>
      </c>
      <c r="J11" s="55">
        <v>4.5359999999999996</v>
      </c>
      <c r="K11" s="55">
        <v>4.5359999999999996</v>
      </c>
      <c r="L11" s="55">
        <v>3.996</v>
      </c>
      <c r="M11" s="55">
        <f t="shared" si="0"/>
        <v>3.78</v>
      </c>
      <c r="N11" s="55">
        <v>3.6179999999999999</v>
      </c>
      <c r="O11" s="55">
        <v>3.4</v>
      </c>
      <c r="P11" s="55">
        <v>3.2</v>
      </c>
    </row>
    <row r="12" spans="1:16">
      <c r="A12" s="20" t="s">
        <v>115</v>
      </c>
      <c r="B12" s="55">
        <v>6.1</v>
      </c>
      <c r="C12" s="56">
        <v>1</v>
      </c>
      <c r="D12" s="56">
        <v>10</v>
      </c>
      <c r="E12" s="56">
        <v>1</v>
      </c>
      <c r="F12" s="55">
        <v>6.1</v>
      </c>
      <c r="G12" s="55">
        <v>6.1</v>
      </c>
      <c r="H12" s="55">
        <v>5.4290000000000003</v>
      </c>
      <c r="I12" s="55">
        <v>5.1230000000000002</v>
      </c>
      <c r="J12" s="55">
        <v>5.1230000000000002</v>
      </c>
      <c r="K12" s="55">
        <v>5.1230000000000002</v>
      </c>
      <c r="L12" s="55">
        <v>4.6360000000000001</v>
      </c>
      <c r="M12" s="55">
        <f t="shared" si="0"/>
        <v>4.2699999999999996</v>
      </c>
      <c r="N12" s="55">
        <v>4.0869999999999997</v>
      </c>
      <c r="O12" s="55">
        <v>3.4</v>
      </c>
      <c r="P12" s="55">
        <v>3.2</v>
      </c>
    </row>
    <row r="13" spans="1:16">
      <c r="A13" s="20" t="s">
        <v>116</v>
      </c>
      <c r="B13" s="55">
        <v>6.1</v>
      </c>
      <c r="C13" s="56">
        <v>1</v>
      </c>
      <c r="D13" s="56">
        <v>10</v>
      </c>
      <c r="E13" s="56">
        <v>1</v>
      </c>
      <c r="F13" s="55">
        <v>6.1</v>
      </c>
      <c r="G13" s="55">
        <v>6.1</v>
      </c>
      <c r="H13" s="55">
        <v>5.4290000000000003</v>
      </c>
      <c r="I13" s="55">
        <v>5.1239999999999997</v>
      </c>
      <c r="J13" s="55">
        <v>5.1239999999999997</v>
      </c>
      <c r="K13" s="55">
        <v>5.1239999999999997</v>
      </c>
      <c r="L13" s="55">
        <v>4.6360000000000001</v>
      </c>
      <c r="M13" s="55">
        <f t="shared" si="0"/>
        <v>4.2699999999999996</v>
      </c>
      <c r="N13" s="55">
        <v>4.0869999999999997</v>
      </c>
      <c r="O13" s="55">
        <v>3.4</v>
      </c>
      <c r="P13" s="55">
        <v>3.2</v>
      </c>
    </row>
    <row r="14" spans="1:16">
      <c r="A14" s="20" t="s">
        <v>117</v>
      </c>
      <c r="B14" s="55">
        <v>6.4</v>
      </c>
      <c r="C14" s="56">
        <v>1</v>
      </c>
      <c r="D14" s="56">
        <v>10</v>
      </c>
      <c r="E14" s="56">
        <v>1</v>
      </c>
      <c r="F14" s="55">
        <v>6.4</v>
      </c>
      <c r="G14" s="55">
        <v>6.4</v>
      </c>
      <c r="H14" s="55">
        <v>5.6959999999999997</v>
      </c>
      <c r="I14" s="55">
        <v>5.3760000000000003</v>
      </c>
      <c r="J14" s="55">
        <v>5.3760000000000003</v>
      </c>
      <c r="K14" s="55">
        <v>5.3760000000000003</v>
      </c>
      <c r="L14" s="55">
        <v>4.8639999999999999</v>
      </c>
      <c r="M14" s="55">
        <f t="shared" si="0"/>
        <v>4.4800000000000004</v>
      </c>
      <c r="N14" s="55">
        <v>4.2880000000000003</v>
      </c>
      <c r="O14" s="55">
        <v>3.4</v>
      </c>
      <c r="P14" s="55">
        <v>3.2</v>
      </c>
    </row>
    <row r="15" spans="1:16">
      <c r="A15" s="20" t="s">
        <v>118</v>
      </c>
      <c r="B15" s="55">
        <v>5.9</v>
      </c>
      <c r="C15" s="56">
        <v>1</v>
      </c>
      <c r="D15" s="56">
        <v>10</v>
      </c>
      <c r="E15" s="56">
        <v>1</v>
      </c>
      <c r="F15" s="55">
        <v>5.9</v>
      </c>
      <c r="G15" s="55">
        <v>5.9</v>
      </c>
      <c r="H15" s="55">
        <v>5.2460000000000004</v>
      </c>
      <c r="I15" s="55">
        <v>4.9494999999999996</v>
      </c>
      <c r="J15" s="55">
        <v>4.9494999999999996</v>
      </c>
      <c r="K15" s="55">
        <v>4.9494999999999996</v>
      </c>
      <c r="L15" s="55">
        <v>4.4997999999999996</v>
      </c>
      <c r="M15" s="55">
        <f t="shared" si="0"/>
        <v>4.13</v>
      </c>
      <c r="N15" s="55">
        <v>3.9529999999999998</v>
      </c>
      <c r="O15" s="55">
        <v>3.4</v>
      </c>
      <c r="P15" s="55">
        <v>3.2</v>
      </c>
    </row>
    <row r="16" spans="1:16">
      <c r="A16" s="20" t="s">
        <v>119</v>
      </c>
      <c r="B16" s="55">
        <v>5.4</v>
      </c>
      <c r="C16" s="56">
        <v>1</v>
      </c>
      <c r="D16" s="56">
        <v>10</v>
      </c>
      <c r="E16" s="56">
        <v>1</v>
      </c>
      <c r="F16" s="55">
        <v>5.4</v>
      </c>
      <c r="G16" s="55">
        <v>5.4</v>
      </c>
      <c r="H16" s="55">
        <v>4.806</v>
      </c>
      <c r="I16" s="55">
        <v>4.5359999999999996</v>
      </c>
      <c r="J16" s="55">
        <v>4.5359999999999996</v>
      </c>
      <c r="K16" s="55">
        <v>4.5359999999999996</v>
      </c>
      <c r="L16" s="55">
        <v>4.1040000000000001</v>
      </c>
      <c r="M16" s="55">
        <f t="shared" si="0"/>
        <v>3.78</v>
      </c>
      <c r="N16" s="55">
        <v>3.6179999999999999</v>
      </c>
      <c r="O16" s="55">
        <v>3.4</v>
      </c>
      <c r="P16" s="55">
        <v>3.2</v>
      </c>
    </row>
    <row r="17" spans="1:16">
      <c r="A17" s="20" t="s">
        <v>120</v>
      </c>
      <c r="B17" s="55">
        <v>5.9</v>
      </c>
      <c r="C17" s="56">
        <v>1</v>
      </c>
      <c r="D17" s="56">
        <v>10</v>
      </c>
      <c r="E17" s="56">
        <v>1</v>
      </c>
      <c r="F17" s="55">
        <v>5.9</v>
      </c>
      <c r="G17" s="55">
        <v>5.9</v>
      </c>
      <c r="H17" s="55">
        <v>5.2460000000000004</v>
      </c>
      <c r="I17" s="55">
        <v>4.9494999999999996</v>
      </c>
      <c r="J17" s="55">
        <v>4.9494999999999996</v>
      </c>
      <c r="K17" s="55">
        <v>4.9494999999999996</v>
      </c>
      <c r="L17" s="55">
        <v>4.4997999999999996</v>
      </c>
      <c r="M17" s="55">
        <f t="shared" si="0"/>
        <v>4.13</v>
      </c>
      <c r="N17" s="55">
        <v>3.9529999999999998</v>
      </c>
      <c r="O17" s="55">
        <v>3.4</v>
      </c>
      <c r="P17" s="55">
        <v>3.2</v>
      </c>
    </row>
    <row r="18" spans="1:16">
      <c r="A18" s="20" t="s">
        <v>121</v>
      </c>
      <c r="B18" s="55">
        <v>1.7495000000000001</v>
      </c>
      <c r="C18" s="56">
        <v>1</v>
      </c>
      <c r="D18" s="56">
        <v>500</v>
      </c>
      <c r="E18" s="56">
        <v>20</v>
      </c>
      <c r="F18" s="55">
        <v>1.7495000000000001</v>
      </c>
      <c r="G18" s="55">
        <v>1.7495000000000001</v>
      </c>
      <c r="H18" s="55">
        <v>1.7495000000000001</v>
      </c>
      <c r="I18" s="55">
        <v>1.7495000000000001</v>
      </c>
      <c r="J18" s="55">
        <v>1.7495000000000001</v>
      </c>
      <c r="K18" s="55">
        <v>1.7495000000000001</v>
      </c>
      <c r="L18" s="55">
        <v>1.7495000000000001</v>
      </c>
      <c r="M18" s="55">
        <v>1.7495000000000001</v>
      </c>
      <c r="N18" s="55">
        <v>1.7495000000000001</v>
      </c>
      <c r="O18" s="55">
        <v>1.4696</v>
      </c>
      <c r="P18" s="55">
        <v>1.2946</v>
      </c>
    </row>
    <row r="19" spans="1:16">
      <c r="A19" s="20" t="s">
        <v>122</v>
      </c>
      <c r="B19" s="55">
        <v>1.7495000000000001</v>
      </c>
      <c r="C19" s="56">
        <v>1</v>
      </c>
      <c r="D19" s="56">
        <v>500</v>
      </c>
      <c r="E19" s="56">
        <v>20</v>
      </c>
      <c r="F19" s="55">
        <v>1.7495000000000001</v>
      </c>
      <c r="G19" s="55">
        <v>1.7495000000000001</v>
      </c>
      <c r="H19" s="55">
        <v>1.7495000000000001</v>
      </c>
      <c r="I19" s="55">
        <v>1.7495000000000001</v>
      </c>
      <c r="J19" s="55">
        <v>1.7495000000000001</v>
      </c>
      <c r="K19" s="55">
        <v>1.7495000000000001</v>
      </c>
      <c r="L19" s="55">
        <v>1.7495000000000001</v>
      </c>
      <c r="M19" s="55">
        <v>1.7495000000000001</v>
      </c>
      <c r="N19" s="55">
        <v>1.7495000000000001</v>
      </c>
      <c r="O19" s="55">
        <v>1.4696</v>
      </c>
      <c r="P19" s="55">
        <v>1.2946</v>
      </c>
    </row>
    <row r="20" spans="1:16">
      <c r="A20" s="20" t="s">
        <v>123</v>
      </c>
      <c r="B20" s="55">
        <v>1.7495000000000001</v>
      </c>
      <c r="C20" s="56">
        <v>1</v>
      </c>
      <c r="D20" s="56">
        <v>500</v>
      </c>
      <c r="E20" s="56">
        <v>20</v>
      </c>
      <c r="F20" s="55">
        <v>1.7495000000000001</v>
      </c>
      <c r="G20" s="55">
        <v>1.7495000000000001</v>
      </c>
      <c r="H20" s="55">
        <v>1.7495000000000001</v>
      </c>
      <c r="I20" s="55">
        <v>1.7495000000000001</v>
      </c>
      <c r="J20" s="55">
        <v>1.7495000000000001</v>
      </c>
      <c r="K20" s="55">
        <v>1.7495000000000001</v>
      </c>
      <c r="L20" s="55">
        <v>1.7495000000000001</v>
      </c>
      <c r="M20" s="55">
        <v>1.7495000000000001</v>
      </c>
      <c r="N20" s="55">
        <v>1.7495000000000001</v>
      </c>
      <c r="O20" s="55">
        <v>1.4696</v>
      </c>
      <c r="P20" s="55">
        <v>1.2946</v>
      </c>
    </row>
    <row r="21" spans="1:16">
      <c r="A21" s="20" t="s">
        <v>124</v>
      </c>
      <c r="B21" s="55">
        <v>1.7495000000000001</v>
      </c>
      <c r="C21" s="56">
        <v>1</v>
      </c>
      <c r="D21" s="56">
        <v>500</v>
      </c>
      <c r="E21" s="56">
        <v>20</v>
      </c>
      <c r="F21" s="55">
        <v>1.7495000000000001</v>
      </c>
      <c r="G21" s="55">
        <v>1.7495000000000001</v>
      </c>
      <c r="H21" s="55">
        <v>1.7495000000000001</v>
      </c>
      <c r="I21" s="55">
        <v>1.7495000000000001</v>
      </c>
      <c r="J21" s="55">
        <v>1.7495000000000001</v>
      </c>
      <c r="K21" s="55">
        <v>1.7495000000000001</v>
      </c>
      <c r="L21" s="55">
        <v>1.7495000000000001</v>
      </c>
      <c r="M21" s="55">
        <v>1.7495000000000001</v>
      </c>
      <c r="N21" s="55">
        <v>1.7495000000000001</v>
      </c>
      <c r="O21" s="55">
        <v>1.4696</v>
      </c>
      <c r="P21" s="55">
        <v>1.2946</v>
      </c>
    </row>
    <row r="22" spans="1:16">
      <c r="A22" s="20" t="s">
        <v>125</v>
      </c>
      <c r="B22" s="55">
        <v>1.7495000000000001</v>
      </c>
      <c r="C22" s="56">
        <v>1</v>
      </c>
      <c r="D22" s="56">
        <v>500</v>
      </c>
      <c r="E22" s="56">
        <v>20</v>
      </c>
      <c r="F22" s="55">
        <v>1.7495000000000001</v>
      </c>
      <c r="G22" s="55">
        <v>1.7495000000000001</v>
      </c>
      <c r="H22" s="55">
        <v>1.7495000000000001</v>
      </c>
      <c r="I22" s="55">
        <v>1.7495000000000001</v>
      </c>
      <c r="J22" s="55">
        <v>1.7495000000000001</v>
      </c>
      <c r="K22" s="55">
        <v>1.7495000000000001</v>
      </c>
      <c r="L22" s="55">
        <v>1.7495000000000001</v>
      </c>
      <c r="M22" s="55">
        <v>1.7495000000000001</v>
      </c>
      <c r="N22" s="55">
        <v>1.7495000000000001</v>
      </c>
      <c r="O22" s="55">
        <v>1.4696</v>
      </c>
      <c r="P22" s="55">
        <v>1.2946</v>
      </c>
    </row>
    <row r="23" spans="1:16">
      <c r="A23" s="20" t="s">
        <v>126</v>
      </c>
      <c r="B23" s="55">
        <v>1.7495000000000001</v>
      </c>
      <c r="C23" s="56">
        <v>1</v>
      </c>
      <c r="D23" s="56">
        <v>500</v>
      </c>
      <c r="E23" s="56">
        <v>20</v>
      </c>
      <c r="F23" s="55">
        <v>1.7495000000000001</v>
      </c>
      <c r="G23" s="55">
        <v>1.7495000000000001</v>
      </c>
      <c r="H23" s="55">
        <v>1.7495000000000001</v>
      </c>
      <c r="I23" s="55">
        <v>1.7495000000000001</v>
      </c>
      <c r="J23" s="55">
        <v>1.7495000000000001</v>
      </c>
      <c r="K23" s="55">
        <v>1.7495000000000001</v>
      </c>
      <c r="L23" s="55">
        <v>1.7495000000000001</v>
      </c>
      <c r="M23" s="55">
        <v>1.7495000000000001</v>
      </c>
      <c r="N23" s="55">
        <v>1.7495000000000001</v>
      </c>
      <c r="O23" s="55">
        <v>1.4696</v>
      </c>
      <c r="P23" s="55">
        <v>1.2946</v>
      </c>
    </row>
    <row r="24" spans="1:16">
      <c r="A24" s="20" t="s">
        <v>127</v>
      </c>
      <c r="B24" s="55">
        <v>1.7495000000000001</v>
      </c>
      <c r="C24" s="56">
        <v>1</v>
      </c>
      <c r="D24" s="56">
        <v>500</v>
      </c>
      <c r="E24" s="56">
        <v>20</v>
      </c>
      <c r="F24" s="55">
        <v>1.7495000000000001</v>
      </c>
      <c r="G24" s="55">
        <v>1.7495000000000001</v>
      </c>
      <c r="H24" s="55">
        <v>1.7495000000000001</v>
      </c>
      <c r="I24" s="55">
        <v>1.7495000000000001</v>
      </c>
      <c r="J24" s="55">
        <v>1.7495000000000001</v>
      </c>
      <c r="K24" s="55">
        <v>1.7495000000000001</v>
      </c>
      <c r="L24" s="55">
        <v>1.7495000000000001</v>
      </c>
      <c r="M24" s="55">
        <v>1.7495000000000001</v>
      </c>
      <c r="N24" s="55">
        <v>1.7495000000000001</v>
      </c>
      <c r="O24" s="55">
        <v>1.4696</v>
      </c>
      <c r="P24" s="55">
        <v>1.2946</v>
      </c>
    </row>
    <row r="25" spans="1:16">
      <c r="A25" s="20" t="s">
        <v>128</v>
      </c>
      <c r="B25" s="55">
        <v>1.7495000000000001</v>
      </c>
      <c r="C25" s="56">
        <v>1</v>
      </c>
      <c r="D25" s="56">
        <v>500</v>
      </c>
      <c r="E25" s="56">
        <v>20</v>
      </c>
      <c r="F25" s="55">
        <v>1.7495000000000001</v>
      </c>
      <c r="G25" s="55">
        <v>1.7495000000000001</v>
      </c>
      <c r="H25" s="55">
        <v>1.7495000000000001</v>
      </c>
      <c r="I25" s="55">
        <v>1.7495000000000001</v>
      </c>
      <c r="J25" s="55">
        <v>1.7495000000000001</v>
      </c>
      <c r="K25" s="55">
        <v>1.7495000000000001</v>
      </c>
      <c r="L25" s="55">
        <v>1.7495000000000001</v>
      </c>
      <c r="M25" s="55">
        <v>1.7495000000000001</v>
      </c>
      <c r="N25" s="55">
        <v>1.7495000000000001</v>
      </c>
      <c r="O25" s="55">
        <v>1.4696</v>
      </c>
      <c r="P25" s="55">
        <v>1.2946</v>
      </c>
    </row>
    <row r="26" spans="1:16">
      <c r="A26" s="20" t="s">
        <v>129</v>
      </c>
      <c r="B26" s="55">
        <v>1.7495000000000001</v>
      </c>
      <c r="C26" s="56">
        <v>1</v>
      </c>
      <c r="D26" s="56">
        <v>500</v>
      </c>
      <c r="E26" s="56">
        <v>20</v>
      </c>
      <c r="F26" s="55">
        <v>1.7495000000000001</v>
      </c>
      <c r="G26" s="55">
        <v>1.7495000000000001</v>
      </c>
      <c r="H26" s="55">
        <v>1.7495000000000001</v>
      </c>
      <c r="I26" s="55">
        <v>1.7495000000000001</v>
      </c>
      <c r="J26" s="55">
        <v>1.7495000000000001</v>
      </c>
      <c r="K26" s="55">
        <v>1.7495000000000001</v>
      </c>
      <c r="L26" s="55">
        <v>1.7495000000000001</v>
      </c>
      <c r="M26" s="55">
        <v>1.7495000000000001</v>
      </c>
      <c r="N26" s="55">
        <v>1.7495000000000001</v>
      </c>
      <c r="O26" s="55">
        <v>1.4696</v>
      </c>
      <c r="P26" s="55">
        <v>1.2946</v>
      </c>
    </row>
    <row r="27" spans="1:16">
      <c r="A27" s="20" t="s">
        <v>130</v>
      </c>
      <c r="B27" s="55">
        <v>1.7495000000000001</v>
      </c>
      <c r="C27" s="56">
        <v>1</v>
      </c>
      <c r="D27" s="56">
        <v>500</v>
      </c>
      <c r="E27" s="56">
        <v>20</v>
      </c>
      <c r="F27" s="55">
        <v>1.7495000000000001</v>
      </c>
      <c r="G27" s="55">
        <v>1.7495000000000001</v>
      </c>
      <c r="H27" s="55">
        <v>1.7495000000000001</v>
      </c>
      <c r="I27" s="55">
        <v>1.7495000000000001</v>
      </c>
      <c r="J27" s="55">
        <v>1.7495000000000001</v>
      </c>
      <c r="K27" s="55">
        <v>1.7495000000000001</v>
      </c>
      <c r="L27" s="55">
        <v>1.7495000000000001</v>
      </c>
      <c r="M27" s="55">
        <v>1.7495000000000001</v>
      </c>
      <c r="N27" s="55">
        <v>1.7495000000000001</v>
      </c>
      <c r="O27" s="55">
        <v>1.4696</v>
      </c>
      <c r="P27" s="55">
        <v>1.2946</v>
      </c>
    </row>
    <row r="28" spans="1:16">
      <c r="A28" s="20" t="s">
        <v>131</v>
      </c>
      <c r="B28" s="55">
        <v>1.7495000000000001</v>
      </c>
      <c r="C28" s="56">
        <v>1</v>
      </c>
      <c r="D28" s="56">
        <v>500</v>
      </c>
      <c r="E28" s="56">
        <v>20</v>
      </c>
      <c r="F28" s="55">
        <v>1.7495000000000001</v>
      </c>
      <c r="G28" s="55">
        <v>1.7495000000000001</v>
      </c>
      <c r="H28" s="55">
        <v>1.7495000000000001</v>
      </c>
      <c r="I28" s="55">
        <v>1.7495000000000001</v>
      </c>
      <c r="J28" s="55">
        <v>1.7495000000000001</v>
      </c>
      <c r="K28" s="55">
        <v>1.7495000000000001</v>
      </c>
      <c r="L28" s="55">
        <v>1.7495000000000001</v>
      </c>
      <c r="M28" s="55">
        <v>1.7495000000000001</v>
      </c>
      <c r="N28" s="55">
        <v>1.7495000000000001</v>
      </c>
      <c r="O28" s="55">
        <v>1.4696</v>
      </c>
      <c r="P28" s="55">
        <v>1.2946</v>
      </c>
    </row>
    <row r="29" spans="1:16">
      <c r="A29" s="20" t="s">
        <v>132</v>
      </c>
      <c r="B29" s="55">
        <v>36.159999999999997</v>
      </c>
      <c r="C29" s="56">
        <v>1</v>
      </c>
      <c r="D29" s="56">
        <v>5</v>
      </c>
      <c r="E29" s="56">
        <v>1</v>
      </c>
      <c r="F29" s="55">
        <v>36.159999999999997</v>
      </c>
      <c r="G29" s="55">
        <f>ROUND($B29*(1-0.16),4)</f>
        <v>30.374400000000001</v>
      </c>
      <c r="H29" s="55">
        <f t="shared" ref="H29:L31" si="1">ROUND($B29*(1-0.25),4)</f>
        <v>27.12</v>
      </c>
      <c r="I29" s="55">
        <f t="shared" si="1"/>
        <v>27.12</v>
      </c>
      <c r="J29" s="55">
        <f t="shared" si="1"/>
        <v>27.12</v>
      </c>
      <c r="K29" s="55">
        <f t="shared" si="1"/>
        <v>27.12</v>
      </c>
      <c r="L29" s="55">
        <f t="shared" si="1"/>
        <v>27.12</v>
      </c>
      <c r="M29" s="55">
        <f t="shared" ref="M29:P31" si="2">ROUND($B29*(1-0.33),4)</f>
        <v>24.2272</v>
      </c>
      <c r="N29" s="55">
        <f t="shared" si="2"/>
        <v>24.2272</v>
      </c>
      <c r="O29" s="55">
        <f t="shared" si="2"/>
        <v>24.2272</v>
      </c>
      <c r="P29" s="55">
        <f t="shared" si="2"/>
        <v>24.2272</v>
      </c>
    </row>
    <row r="30" spans="1:16">
      <c r="A30" s="20" t="s">
        <v>133</v>
      </c>
      <c r="B30" s="55">
        <v>37.15</v>
      </c>
      <c r="C30" s="56">
        <v>1</v>
      </c>
      <c r="D30" s="56">
        <v>5</v>
      </c>
      <c r="E30" s="56">
        <v>1</v>
      </c>
      <c r="F30" s="55">
        <v>37.15</v>
      </c>
      <c r="G30" s="55">
        <f>ROUND($B30*(1-0.16),4)</f>
        <v>31.206</v>
      </c>
      <c r="H30" s="55">
        <f t="shared" si="1"/>
        <v>27.862500000000001</v>
      </c>
      <c r="I30" s="55">
        <f t="shared" si="1"/>
        <v>27.862500000000001</v>
      </c>
      <c r="J30" s="55">
        <f t="shared" si="1"/>
        <v>27.862500000000001</v>
      </c>
      <c r="K30" s="55">
        <f t="shared" si="1"/>
        <v>27.862500000000001</v>
      </c>
      <c r="L30" s="55">
        <f t="shared" si="1"/>
        <v>27.862500000000001</v>
      </c>
      <c r="M30" s="55">
        <f t="shared" si="2"/>
        <v>24.890499999999999</v>
      </c>
      <c r="N30" s="55">
        <f t="shared" si="2"/>
        <v>24.890499999999999</v>
      </c>
      <c r="O30" s="55">
        <f t="shared" si="2"/>
        <v>24.890499999999999</v>
      </c>
      <c r="P30" s="55">
        <f t="shared" si="2"/>
        <v>24.890499999999999</v>
      </c>
    </row>
    <row r="31" spans="1:16">
      <c r="A31" s="20" t="s">
        <v>134</v>
      </c>
      <c r="B31" s="55">
        <v>36.18</v>
      </c>
      <c r="C31" s="56">
        <v>1</v>
      </c>
      <c r="D31" s="56">
        <v>5</v>
      </c>
      <c r="E31" s="56">
        <v>1</v>
      </c>
      <c r="F31" s="55">
        <v>36.18</v>
      </c>
      <c r="G31" s="55">
        <f>ROUND($B31*(1-0.16),4)</f>
        <v>30.391200000000001</v>
      </c>
      <c r="H31" s="55">
        <f t="shared" si="1"/>
        <v>27.135000000000002</v>
      </c>
      <c r="I31" s="55">
        <f t="shared" si="1"/>
        <v>27.135000000000002</v>
      </c>
      <c r="J31" s="55">
        <f t="shared" si="1"/>
        <v>27.135000000000002</v>
      </c>
      <c r="K31" s="55">
        <f t="shared" si="1"/>
        <v>27.135000000000002</v>
      </c>
      <c r="L31" s="55">
        <f t="shared" si="1"/>
        <v>27.135000000000002</v>
      </c>
      <c r="M31" s="55">
        <f t="shared" si="2"/>
        <v>24.240600000000001</v>
      </c>
      <c r="N31" s="55">
        <f t="shared" si="2"/>
        <v>24.240600000000001</v>
      </c>
      <c r="O31" s="55">
        <f t="shared" si="2"/>
        <v>24.240600000000001</v>
      </c>
      <c r="P31" s="55">
        <f t="shared" si="2"/>
        <v>24.240600000000001</v>
      </c>
    </row>
    <row r="32" spans="1:16">
      <c r="A32" s="20" t="s">
        <v>135</v>
      </c>
      <c r="B32" s="55">
        <v>26.9</v>
      </c>
      <c r="C32" s="56">
        <v>1</v>
      </c>
      <c r="D32" s="56">
        <v>1</v>
      </c>
      <c r="E32" s="56">
        <v>1</v>
      </c>
      <c r="F32" s="55">
        <v>26.9</v>
      </c>
      <c r="G32" s="55">
        <v>26.9</v>
      </c>
      <c r="H32" s="55">
        <v>18.829999999999998</v>
      </c>
      <c r="I32" s="55">
        <v>18.829999999999998</v>
      </c>
      <c r="J32" s="55">
        <v>18.829999999999998</v>
      </c>
      <c r="K32" s="55">
        <v>18.829999999999998</v>
      </c>
      <c r="L32" s="55">
        <v>18.829999999999998</v>
      </c>
      <c r="M32" s="55">
        <v>13.718999999999999</v>
      </c>
      <c r="N32" s="55">
        <v>13.718999999999999</v>
      </c>
      <c r="O32" s="55">
        <v>13.718999999999999</v>
      </c>
      <c r="P32" s="55">
        <v>13.718999999999999</v>
      </c>
    </row>
    <row r="33" spans="1:16">
      <c r="A33" s="20" t="s">
        <v>136</v>
      </c>
      <c r="B33" s="55">
        <v>38.54</v>
      </c>
      <c r="C33" s="56">
        <v>1</v>
      </c>
      <c r="D33" s="56">
        <v>5</v>
      </c>
      <c r="E33" s="56">
        <v>1</v>
      </c>
      <c r="F33" s="55">
        <v>38.54</v>
      </c>
      <c r="G33" s="55">
        <f>ROUND($B33*(1-0.16),4)</f>
        <v>32.373600000000003</v>
      </c>
      <c r="H33" s="55">
        <f>ROUND($B33*(1-0.25),4)</f>
        <v>28.905000000000001</v>
      </c>
      <c r="I33" s="55">
        <f>ROUND($B33*(1-0.25),4)</f>
        <v>28.905000000000001</v>
      </c>
      <c r="J33" s="55">
        <f>ROUND($B33*(1-0.25),4)</f>
        <v>28.905000000000001</v>
      </c>
      <c r="K33" s="55">
        <f>ROUND($B33*(1-0.25),4)</f>
        <v>28.905000000000001</v>
      </c>
      <c r="L33" s="55">
        <f>ROUND($B33*(1-0.25),4)</f>
        <v>28.905000000000001</v>
      </c>
      <c r="M33" s="55">
        <f>ROUND($B33*(1-0.33),4)</f>
        <v>25.8218</v>
      </c>
      <c r="N33" s="55">
        <f>ROUND($B33*(1-0.33),4)</f>
        <v>25.8218</v>
      </c>
      <c r="O33" s="55">
        <f>ROUND($B33*(1-0.33),4)</f>
        <v>25.8218</v>
      </c>
      <c r="P33" s="55">
        <f>ROUND($B33*(1-0.33),4)</f>
        <v>25.8218</v>
      </c>
    </row>
    <row r="34" spans="1:16">
      <c r="A34" s="20" t="s">
        <v>137</v>
      </c>
      <c r="B34" s="55">
        <v>24.92</v>
      </c>
      <c r="C34" s="56">
        <v>1</v>
      </c>
      <c r="D34" s="56">
        <v>1</v>
      </c>
      <c r="E34" s="56">
        <v>1</v>
      </c>
      <c r="F34" s="55">
        <v>24.92</v>
      </c>
      <c r="G34" s="55">
        <v>24.92</v>
      </c>
      <c r="H34" s="55">
        <v>14.4536</v>
      </c>
      <c r="I34" s="55">
        <v>14.4536</v>
      </c>
      <c r="J34" s="55">
        <v>14.4536</v>
      </c>
      <c r="K34" s="55">
        <v>14.4536</v>
      </c>
      <c r="L34" s="55">
        <v>14.4536</v>
      </c>
      <c r="M34" s="55">
        <v>12.709199999999999</v>
      </c>
      <c r="N34" s="55">
        <v>12.709199999999999</v>
      </c>
      <c r="O34" s="55">
        <v>12.709199999999999</v>
      </c>
      <c r="P34" s="55">
        <v>12.709199999999999</v>
      </c>
    </row>
    <row r="35" spans="1:16">
      <c r="A35" s="20" t="s">
        <v>138</v>
      </c>
      <c r="B35" s="55">
        <v>59.99</v>
      </c>
      <c r="C35" s="56">
        <v>1</v>
      </c>
      <c r="D35" s="56">
        <v>1</v>
      </c>
      <c r="E35" s="56">
        <v>1</v>
      </c>
      <c r="F35" s="55">
        <v>59.99</v>
      </c>
      <c r="G35" s="55">
        <v>44.99</v>
      </c>
      <c r="H35" s="55">
        <v>41.993000000000002</v>
      </c>
      <c r="I35" s="55">
        <v>40.79</v>
      </c>
      <c r="J35" s="55">
        <v>40.79</v>
      </c>
      <c r="K35" s="55">
        <v>40.79</v>
      </c>
      <c r="L35" s="55">
        <v>38.99</v>
      </c>
      <c r="M35" s="55">
        <v>30.594899999999999</v>
      </c>
      <c r="N35" s="55"/>
      <c r="O35" s="55"/>
      <c r="P35" s="55"/>
    </row>
    <row r="36" spans="1:16">
      <c r="A36" s="20" t="s">
        <v>139</v>
      </c>
      <c r="B36" s="55">
        <v>35.79</v>
      </c>
      <c r="C36" s="56">
        <v>1</v>
      </c>
      <c r="D36" s="56">
        <v>5</v>
      </c>
      <c r="E36" s="56">
        <v>1</v>
      </c>
      <c r="F36" s="55">
        <v>35.79</v>
      </c>
      <c r="G36" s="55">
        <f>ROUND($B36*(1-0.16),4)</f>
        <v>30.063600000000001</v>
      </c>
      <c r="H36" s="55">
        <f t="shared" ref="H36:L37" si="3">ROUND($B36*(1-0.25),4)</f>
        <v>26.842500000000001</v>
      </c>
      <c r="I36" s="55">
        <f t="shared" si="3"/>
        <v>26.842500000000001</v>
      </c>
      <c r="J36" s="55">
        <f t="shared" si="3"/>
        <v>26.842500000000001</v>
      </c>
      <c r="K36" s="55">
        <f t="shared" si="3"/>
        <v>26.842500000000001</v>
      </c>
      <c r="L36" s="55">
        <f t="shared" si="3"/>
        <v>26.842500000000001</v>
      </c>
      <c r="M36" s="55">
        <f t="shared" ref="M36:P37" si="4">ROUND($B36*(1-0.33),4)</f>
        <v>23.979299999999999</v>
      </c>
      <c r="N36" s="55">
        <f t="shared" si="4"/>
        <v>23.979299999999999</v>
      </c>
      <c r="O36" s="55">
        <f t="shared" si="4"/>
        <v>23.979299999999999</v>
      </c>
      <c r="P36" s="55">
        <f t="shared" si="4"/>
        <v>23.979299999999999</v>
      </c>
    </row>
    <row r="37" spans="1:16">
      <c r="A37" s="20" t="s">
        <v>140</v>
      </c>
      <c r="B37" s="55">
        <v>37.450000000000003</v>
      </c>
      <c r="C37" s="56">
        <v>1</v>
      </c>
      <c r="D37" s="56">
        <v>5</v>
      </c>
      <c r="E37" s="56">
        <v>1</v>
      </c>
      <c r="F37" s="55">
        <v>37.450000000000003</v>
      </c>
      <c r="G37" s="55">
        <f>ROUND($B37*(1-0.16),4)</f>
        <v>31.457999999999998</v>
      </c>
      <c r="H37" s="55">
        <f t="shared" si="3"/>
        <v>28.087499999999999</v>
      </c>
      <c r="I37" s="55">
        <f t="shared" si="3"/>
        <v>28.087499999999999</v>
      </c>
      <c r="J37" s="55">
        <f t="shared" si="3"/>
        <v>28.087499999999999</v>
      </c>
      <c r="K37" s="55">
        <f t="shared" si="3"/>
        <v>28.087499999999999</v>
      </c>
      <c r="L37" s="55">
        <f t="shared" si="3"/>
        <v>28.087499999999999</v>
      </c>
      <c r="M37" s="55">
        <f t="shared" si="4"/>
        <v>25.0915</v>
      </c>
      <c r="N37" s="55">
        <f t="shared" si="4"/>
        <v>25.0915</v>
      </c>
      <c r="O37" s="55">
        <f t="shared" si="4"/>
        <v>25.0915</v>
      </c>
      <c r="P37" s="55">
        <f t="shared" si="4"/>
        <v>25.0915</v>
      </c>
    </row>
    <row r="38" spans="1:16">
      <c r="A38" s="20" t="s">
        <v>141</v>
      </c>
      <c r="B38" s="55">
        <v>25.2</v>
      </c>
      <c r="C38" s="56">
        <v>1</v>
      </c>
      <c r="D38" s="56">
        <v>1</v>
      </c>
      <c r="E38" s="56">
        <v>1</v>
      </c>
      <c r="F38" s="55">
        <v>25.2</v>
      </c>
      <c r="G38" s="55">
        <v>21.167999999999999</v>
      </c>
      <c r="H38" s="55">
        <v>18.648</v>
      </c>
      <c r="I38" s="55">
        <v>18.648</v>
      </c>
      <c r="J38" s="55">
        <v>18.648</v>
      </c>
      <c r="K38" s="55">
        <v>16.38</v>
      </c>
      <c r="L38" s="55">
        <v>14.616</v>
      </c>
      <c r="M38" s="55">
        <v>13.718999999999999</v>
      </c>
      <c r="N38" s="55">
        <v>13.718999999999999</v>
      </c>
      <c r="O38" s="55">
        <v>13.718999999999999</v>
      </c>
      <c r="P38" s="55">
        <v>13.718999999999999</v>
      </c>
    </row>
    <row r="39" spans="1:16">
      <c r="A39" s="20" t="s">
        <v>142</v>
      </c>
      <c r="B39" s="55">
        <v>36.159999999999997</v>
      </c>
      <c r="C39" s="56">
        <v>1</v>
      </c>
      <c r="D39" s="56">
        <v>5</v>
      </c>
      <c r="E39" s="56">
        <v>1</v>
      </c>
      <c r="F39" s="55">
        <v>36.159999999999997</v>
      </c>
      <c r="G39" s="55">
        <f t="shared" ref="G39:G45" si="5">ROUND($B39*(1-0.16),4)</f>
        <v>30.374400000000001</v>
      </c>
      <c r="H39" s="55">
        <f t="shared" ref="H39:L45" si="6">ROUND($B39*(1-0.25),4)</f>
        <v>27.12</v>
      </c>
      <c r="I39" s="55">
        <f t="shared" si="6"/>
        <v>27.12</v>
      </c>
      <c r="J39" s="55">
        <f t="shared" si="6"/>
        <v>27.12</v>
      </c>
      <c r="K39" s="55">
        <f t="shared" si="6"/>
        <v>27.12</v>
      </c>
      <c r="L39" s="55">
        <f t="shared" si="6"/>
        <v>27.12</v>
      </c>
      <c r="M39" s="55">
        <f t="shared" ref="M39:P45" si="7">ROUND($B39*(1-0.33),4)</f>
        <v>24.2272</v>
      </c>
      <c r="N39" s="55">
        <f t="shared" si="7"/>
        <v>24.2272</v>
      </c>
      <c r="O39" s="55">
        <f t="shared" si="7"/>
        <v>24.2272</v>
      </c>
      <c r="P39" s="55">
        <f t="shared" si="7"/>
        <v>24.2272</v>
      </c>
    </row>
    <row r="40" spans="1:16">
      <c r="A40" s="20" t="s">
        <v>143</v>
      </c>
      <c r="B40" s="55">
        <v>38.450000000000003</v>
      </c>
      <c r="C40" s="56">
        <v>1</v>
      </c>
      <c r="D40" s="56">
        <v>5</v>
      </c>
      <c r="E40" s="56">
        <v>1</v>
      </c>
      <c r="F40" s="55">
        <v>38.450000000000003</v>
      </c>
      <c r="G40" s="55">
        <f t="shared" si="5"/>
        <v>32.298000000000002</v>
      </c>
      <c r="H40" s="55">
        <f t="shared" si="6"/>
        <v>28.837499999999999</v>
      </c>
      <c r="I40" s="55">
        <f t="shared" si="6"/>
        <v>28.837499999999999</v>
      </c>
      <c r="J40" s="55">
        <f t="shared" si="6"/>
        <v>28.837499999999999</v>
      </c>
      <c r="K40" s="55">
        <f t="shared" si="6"/>
        <v>28.837499999999999</v>
      </c>
      <c r="L40" s="55">
        <f t="shared" si="6"/>
        <v>28.837499999999999</v>
      </c>
      <c r="M40" s="55">
        <f t="shared" si="7"/>
        <v>25.761500000000002</v>
      </c>
      <c r="N40" s="55">
        <f t="shared" si="7"/>
        <v>25.761500000000002</v>
      </c>
      <c r="O40" s="55">
        <f t="shared" si="7"/>
        <v>25.761500000000002</v>
      </c>
      <c r="P40" s="55">
        <f t="shared" si="7"/>
        <v>25.761500000000002</v>
      </c>
    </row>
    <row r="41" spans="1:16">
      <c r="A41" s="20" t="s">
        <v>144</v>
      </c>
      <c r="B41" s="55">
        <v>39.99</v>
      </c>
      <c r="C41" s="56">
        <v>1</v>
      </c>
      <c r="D41" s="56">
        <v>5</v>
      </c>
      <c r="E41" s="56">
        <v>1</v>
      </c>
      <c r="F41" s="55">
        <v>39.99</v>
      </c>
      <c r="G41" s="55">
        <f t="shared" si="5"/>
        <v>33.5916</v>
      </c>
      <c r="H41" s="55">
        <f t="shared" si="6"/>
        <v>29.9925</v>
      </c>
      <c r="I41" s="55">
        <f t="shared" si="6"/>
        <v>29.9925</v>
      </c>
      <c r="J41" s="55">
        <f t="shared" si="6"/>
        <v>29.9925</v>
      </c>
      <c r="K41" s="55">
        <f t="shared" si="6"/>
        <v>29.9925</v>
      </c>
      <c r="L41" s="55">
        <f t="shared" si="6"/>
        <v>29.9925</v>
      </c>
      <c r="M41" s="55">
        <f t="shared" si="7"/>
        <v>26.793299999999999</v>
      </c>
      <c r="N41" s="55">
        <f t="shared" si="7"/>
        <v>26.793299999999999</v>
      </c>
      <c r="O41" s="55">
        <f t="shared" si="7"/>
        <v>26.793299999999999</v>
      </c>
      <c r="P41" s="55">
        <f t="shared" si="7"/>
        <v>26.793299999999999</v>
      </c>
    </row>
    <row r="42" spans="1:16">
      <c r="A42" s="20" t="s">
        <v>145</v>
      </c>
      <c r="B42" s="55">
        <v>35.99</v>
      </c>
      <c r="C42" s="56">
        <v>1</v>
      </c>
      <c r="D42" s="56">
        <v>5</v>
      </c>
      <c r="E42" s="56">
        <v>1</v>
      </c>
      <c r="F42" s="55">
        <v>35.99</v>
      </c>
      <c r="G42" s="55">
        <f t="shared" si="5"/>
        <v>30.2316</v>
      </c>
      <c r="H42" s="55">
        <f t="shared" si="6"/>
        <v>26.9925</v>
      </c>
      <c r="I42" s="55">
        <f t="shared" si="6"/>
        <v>26.9925</v>
      </c>
      <c r="J42" s="55">
        <f t="shared" si="6"/>
        <v>26.9925</v>
      </c>
      <c r="K42" s="55">
        <f t="shared" si="6"/>
        <v>26.9925</v>
      </c>
      <c r="L42" s="55">
        <f t="shared" si="6"/>
        <v>26.9925</v>
      </c>
      <c r="M42" s="55">
        <f t="shared" si="7"/>
        <v>24.113299999999999</v>
      </c>
      <c r="N42" s="55">
        <f t="shared" si="7"/>
        <v>24.113299999999999</v>
      </c>
      <c r="O42" s="55">
        <f t="shared" si="7"/>
        <v>24.113299999999999</v>
      </c>
      <c r="P42" s="55">
        <f t="shared" si="7"/>
        <v>24.113299999999999</v>
      </c>
    </row>
    <row r="43" spans="1:16">
      <c r="A43" s="20" t="s">
        <v>146</v>
      </c>
      <c r="B43" s="55">
        <v>39.99</v>
      </c>
      <c r="C43" s="56">
        <v>1</v>
      </c>
      <c r="D43" s="56">
        <v>5</v>
      </c>
      <c r="E43" s="56">
        <v>1</v>
      </c>
      <c r="F43" s="55">
        <v>39.99</v>
      </c>
      <c r="G43" s="55">
        <f t="shared" si="5"/>
        <v>33.5916</v>
      </c>
      <c r="H43" s="55">
        <f t="shared" si="6"/>
        <v>29.9925</v>
      </c>
      <c r="I43" s="55">
        <f t="shared" si="6"/>
        <v>29.9925</v>
      </c>
      <c r="J43" s="55">
        <f t="shared" si="6"/>
        <v>29.9925</v>
      </c>
      <c r="K43" s="55">
        <f t="shared" si="6"/>
        <v>29.9925</v>
      </c>
      <c r="L43" s="55">
        <f t="shared" si="6"/>
        <v>29.9925</v>
      </c>
      <c r="M43" s="55">
        <f t="shared" si="7"/>
        <v>26.793299999999999</v>
      </c>
      <c r="N43" s="55">
        <f t="shared" si="7"/>
        <v>26.793299999999999</v>
      </c>
      <c r="O43" s="55">
        <f t="shared" si="7"/>
        <v>26.793299999999999</v>
      </c>
      <c r="P43" s="55">
        <f t="shared" si="7"/>
        <v>26.793299999999999</v>
      </c>
    </row>
    <row r="44" spans="1:16">
      <c r="A44" s="20" t="s">
        <v>147</v>
      </c>
      <c r="B44" s="55">
        <v>38.340000000000003</v>
      </c>
      <c r="C44" s="56">
        <v>1</v>
      </c>
      <c r="D44" s="56">
        <v>5</v>
      </c>
      <c r="E44" s="56">
        <v>1</v>
      </c>
      <c r="F44" s="55">
        <v>38.340000000000003</v>
      </c>
      <c r="G44" s="55">
        <f t="shared" si="5"/>
        <v>32.205599999999997</v>
      </c>
      <c r="H44" s="55">
        <f t="shared" si="6"/>
        <v>28.754999999999999</v>
      </c>
      <c r="I44" s="55">
        <f t="shared" si="6"/>
        <v>28.754999999999999</v>
      </c>
      <c r="J44" s="55">
        <f t="shared" si="6"/>
        <v>28.754999999999999</v>
      </c>
      <c r="K44" s="55">
        <f t="shared" si="6"/>
        <v>28.754999999999999</v>
      </c>
      <c r="L44" s="55">
        <f t="shared" si="6"/>
        <v>28.754999999999999</v>
      </c>
      <c r="M44" s="55">
        <f t="shared" si="7"/>
        <v>25.687799999999999</v>
      </c>
      <c r="N44" s="55">
        <f t="shared" si="7"/>
        <v>25.687799999999999</v>
      </c>
      <c r="O44" s="55">
        <f t="shared" si="7"/>
        <v>25.687799999999999</v>
      </c>
      <c r="P44" s="55">
        <f t="shared" si="7"/>
        <v>25.687799999999999</v>
      </c>
    </row>
    <row r="45" spans="1:16">
      <c r="A45" s="20" t="s">
        <v>148</v>
      </c>
      <c r="B45" s="55">
        <v>36.450000000000003</v>
      </c>
      <c r="C45" s="56">
        <v>1</v>
      </c>
      <c r="D45" s="56">
        <v>5</v>
      </c>
      <c r="E45" s="56">
        <v>1</v>
      </c>
      <c r="F45" s="55">
        <v>36.450000000000003</v>
      </c>
      <c r="G45" s="55">
        <f t="shared" si="5"/>
        <v>30.617999999999999</v>
      </c>
      <c r="H45" s="55">
        <f t="shared" si="6"/>
        <v>27.337499999999999</v>
      </c>
      <c r="I45" s="55">
        <f t="shared" si="6"/>
        <v>27.337499999999999</v>
      </c>
      <c r="J45" s="55">
        <f t="shared" si="6"/>
        <v>27.337499999999999</v>
      </c>
      <c r="K45" s="55">
        <f t="shared" si="6"/>
        <v>27.337499999999999</v>
      </c>
      <c r="L45" s="55">
        <f t="shared" si="6"/>
        <v>27.337499999999999</v>
      </c>
      <c r="M45" s="55">
        <f t="shared" si="7"/>
        <v>24.421500000000002</v>
      </c>
      <c r="N45" s="55">
        <f t="shared" si="7"/>
        <v>24.421500000000002</v>
      </c>
      <c r="O45" s="55">
        <f t="shared" si="7"/>
        <v>24.421500000000002</v>
      </c>
      <c r="P45" s="55">
        <f t="shared" si="7"/>
        <v>24.421500000000002</v>
      </c>
    </row>
    <row r="46" spans="1:16">
      <c r="A46" s="20" t="s">
        <v>149</v>
      </c>
      <c r="B46" s="55">
        <v>59.99</v>
      </c>
      <c r="C46" s="56">
        <v>1</v>
      </c>
      <c r="D46" s="56">
        <v>1</v>
      </c>
      <c r="E46" s="56">
        <v>1</v>
      </c>
      <c r="F46" s="55">
        <v>59.99</v>
      </c>
      <c r="G46" s="55">
        <v>44.99</v>
      </c>
      <c r="H46" s="55">
        <v>41.993000000000002</v>
      </c>
      <c r="I46" s="55">
        <v>40.79</v>
      </c>
      <c r="J46" s="55">
        <v>40.79</v>
      </c>
      <c r="K46" s="55">
        <v>40.79</v>
      </c>
      <c r="L46" s="55">
        <v>38.99</v>
      </c>
      <c r="M46" s="55">
        <v>30.594899999999999</v>
      </c>
      <c r="N46" s="55"/>
      <c r="O46" s="55"/>
      <c r="P46" s="55"/>
    </row>
    <row r="47" spans="1:16">
      <c r="A47" s="20" t="s">
        <v>150</v>
      </c>
      <c r="B47" s="55">
        <v>36.159999999999997</v>
      </c>
      <c r="C47" s="56">
        <v>1</v>
      </c>
      <c r="D47" s="56">
        <v>5</v>
      </c>
      <c r="E47" s="56">
        <v>1</v>
      </c>
      <c r="F47" s="55">
        <v>36.159999999999997</v>
      </c>
      <c r="G47" s="55">
        <f>ROUND($B47*(1-0.16),4)</f>
        <v>30.374400000000001</v>
      </c>
      <c r="H47" s="55">
        <f t="shared" ref="H47:L48" si="8">ROUND($B47*(1-0.25),4)</f>
        <v>27.12</v>
      </c>
      <c r="I47" s="55">
        <f t="shared" si="8"/>
        <v>27.12</v>
      </c>
      <c r="J47" s="55">
        <f t="shared" si="8"/>
        <v>27.12</v>
      </c>
      <c r="K47" s="55">
        <f t="shared" si="8"/>
        <v>27.12</v>
      </c>
      <c r="L47" s="55">
        <f t="shared" si="8"/>
        <v>27.12</v>
      </c>
      <c r="M47" s="55">
        <f t="shared" ref="M47:P48" si="9">ROUND($B47*(1-0.33),4)</f>
        <v>24.2272</v>
      </c>
      <c r="N47" s="55">
        <f t="shared" si="9"/>
        <v>24.2272</v>
      </c>
      <c r="O47" s="55">
        <f t="shared" si="9"/>
        <v>24.2272</v>
      </c>
      <c r="P47" s="55">
        <f t="shared" si="9"/>
        <v>24.2272</v>
      </c>
    </row>
    <row r="48" spans="1:16">
      <c r="A48" s="20" t="s">
        <v>151</v>
      </c>
      <c r="B48" s="55">
        <v>37.56</v>
      </c>
      <c r="C48" s="56">
        <v>1</v>
      </c>
      <c r="D48" s="56">
        <v>5</v>
      </c>
      <c r="E48" s="56">
        <v>1</v>
      </c>
      <c r="F48" s="55">
        <v>37.56</v>
      </c>
      <c r="G48" s="55">
        <f>ROUND($B48*(1-0.16),4)</f>
        <v>31.5504</v>
      </c>
      <c r="H48" s="55">
        <f t="shared" si="8"/>
        <v>28.17</v>
      </c>
      <c r="I48" s="55">
        <f t="shared" si="8"/>
        <v>28.17</v>
      </c>
      <c r="J48" s="55">
        <f t="shared" si="8"/>
        <v>28.17</v>
      </c>
      <c r="K48" s="55">
        <f t="shared" si="8"/>
        <v>28.17</v>
      </c>
      <c r="L48" s="55">
        <f t="shared" si="8"/>
        <v>28.17</v>
      </c>
      <c r="M48" s="55">
        <f t="shared" si="9"/>
        <v>25.165199999999999</v>
      </c>
      <c r="N48" s="55">
        <f t="shared" si="9"/>
        <v>25.165199999999999</v>
      </c>
      <c r="O48" s="55">
        <f t="shared" si="9"/>
        <v>25.165199999999999</v>
      </c>
      <c r="P48" s="55">
        <f t="shared" si="9"/>
        <v>25.165199999999999</v>
      </c>
    </row>
    <row r="49" spans="1:16">
      <c r="A49" s="20" t="s">
        <v>152</v>
      </c>
      <c r="B49" s="55">
        <v>19.600000000000001</v>
      </c>
      <c r="C49" s="56">
        <v>1</v>
      </c>
      <c r="D49" s="56">
        <v>1</v>
      </c>
      <c r="E49" s="56">
        <v>1</v>
      </c>
      <c r="F49" s="55">
        <v>19.600000000000001</v>
      </c>
      <c r="G49" s="55">
        <v>16.463999999999999</v>
      </c>
      <c r="H49" s="55">
        <v>14.504</v>
      </c>
      <c r="I49" s="55">
        <v>14.504</v>
      </c>
      <c r="J49" s="55">
        <v>14.504</v>
      </c>
      <c r="K49" s="55">
        <v>13.72</v>
      </c>
      <c r="L49" s="55">
        <v>11.36</v>
      </c>
      <c r="M49" s="55"/>
      <c r="N49" s="55"/>
      <c r="O49" s="55"/>
      <c r="P49" s="55"/>
    </row>
    <row r="50" spans="1:16">
      <c r="A50" s="20" t="s">
        <v>153</v>
      </c>
      <c r="B50" s="55">
        <v>19.600000000000001</v>
      </c>
      <c r="C50" s="56">
        <v>1</v>
      </c>
      <c r="D50" s="56">
        <v>1</v>
      </c>
      <c r="E50" s="56">
        <v>1</v>
      </c>
      <c r="F50" s="55">
        <v>19.600000000000001</v>
      </c>
      <c r="G50" s="55">
        <v>16.463999999999999</v>
      </c>
      <c r="H50" s="55">
        <v>14.504</v>
      </c>
      <c r="I50" s="55">
        <v>14.504</v>
      </c>
      <c r="J50" s="55">
        <v>14.504</v>
      </c>
      <c r="K50" s="55">
        <v>13.72</v>
      </c>
      <c r="L50" s="55">
        <v>11.36</v>
      </c>
      <c r="M50" s="55"/>
      <c r="N50" s="55"/>
      <c r="O50" s="55"/>
      <c r="P50" s="55"/>
    </row>
    <row r="51" spans="1:16">
      <c r="A51" s="20" t="s">
        <v>154</v>
      </c>
      <c r="B51" s="55">
        <v>19.600000000000001</v>
      </c>
      <c r="C51" s="56">
        <v>1</v>
      </c>
      <c r="D51" s="56">
        <v>1</v>
      </c>
      <c r="E51" s="56">
        <v>1</v>
      </c>
      <c r="F51" s="55">
        <v>19.600000000000001</v>
      </c>
      <c r="G51" s="55">
        <v>16.463999999999999</v>
      </c>
      <c r="H51" s="55">
        <v>14.504</v>
      </c>
      <c r="I51" s="55">
        <v>14.504</v>
      </c>
      <c r="J51" s="55">
        <v>14.504</v>
      </c>
      <c r="K51" s="55">
        <v>13.72</v>
      </c>
      <c r="L51" s="55">
        <v>11.36</v>
      </c>
      <c r="M51" s="55"/>
      <c r="N51" s="55"/>
      <c r="O51" s="55"/>
      <c r="P51" s="55"/>
    </row>
    <row r="52" spans="1:16">
      <c r="A52" s="20" t="s">
        <v>155</v>
      </c>
      <c r="B52" s="55">
        <v>19.600000000000001</v>
      </c>
      <c r="C52" s="56">
        <v>1</v>
      </c>
      <c r="D52" s="56">
        <v>1</v>
      </c>
      <c r="E52" s="56">
        <v>1</v>
      </c>
      <c r="F52" s="55">
        <v>19.600000000000001</v>
      </c>
      <c r="G52" s="55">
        <v>16.463999999999999</v>
      </c>
      <c r="H52" s="55">
        <v>14.504</v>
      </c>
      <c r="I52" s="55">
        <v>14.504</v>
      </c>
      <c r="J52" s="55">
        <v>14.504</v>
      </c>
      <c r="K52" s="55">
        <v>13.72</v>
      </c>
      <c r="L52" s="55">
        <v>11.36</v>
      </c>
      <c r="M52" s="55"/>
      <c r="N52" s="55"/>
      <c r="O52" s="55"/>
      <c r="P52" s="55"/>
    </row>
    <row r="53" spans="1:16">
      <c r="A53" s="20" t="s">
        <v>156</v>
      </c>
      <c r="B53" s="55">
        <v>19.600000000000001</v>
      </c>
      <c r="C53" s="56">
        <v>1</v>
      </c>
      <c r="D53" s="56">
        <v>1</v>
      </c>
      <c r="E53" s="56">
        <v>1</v>
      </c>
      <c r="F53" s="55">
        <v>19.600000000000001</v>
      </c>
      <c r="G53" s="55">
        <v>16.463999999999999</v>
      </c>
      <c r="H53" s="55">
        <v>14.504</v>
      </c>
      <c r="I53" s="55">
        <v>14.504</v>
      </c>
      <c r="J53" s="55">
        <v>14.504</v>
      </c>
      <c r="K53" s="55">
        <v>13.72</v>
      </c>
      <c r="L53" s="55">
        <v>11.36</v>
      </c>
      <c r="M53" s="55"/>
      <c r="N53" s="55"/>
      <c r="O53" s="55"/>
      <c r="P53" s="55"/>
    </row>
    <row r="54" spans="1:16">
      <c r="A54" s="20" t="s">
        <v>157</v>
      </c>
      <c r="B54" s="55">
        <v>63.2</v>
      </c>
      <c r="C54" s="56">
        <v>1</v>
      </c>
      <c r="D54" s="56">
        <v>1</v>
      </c>
      <c r="E54" s="56">
        <v>1</v>
      </c>
      <c r="F54" s="55">
        <v>63.2</v>
      </c>
      <c r="G54" s="55">
        <v>53.72</v>
      </c>
      <c r="H54" s="55">
        <v>50.56</v>
      </c>
      <c r="I54" s="55">
        <v>49.295999999999999</v>
      </c>
      <c r="J54" s="55">
        <v>47.4</v>
      </c>
      <c r="K54" s="55">
        <v>41.08</v>
      </c>
      <c r="L54" s="55">
        <v>36.65</v>
      </c>
      <c r="M54" s="55"/>
      <c r="N54" s="55"/>
      <c r="O54" s="55"/>
      <c r="P54" s="55"/>
    </row>
    <row r="55" spans="1:16">
      <c r="A55" s="20" t="s">
        <v>158</v>
      </c>
      <c r="B55" s="55">
        <v>53.2</v>
      </c>
      <c r="C55" s="56">
        <v>1</v>
      </c>
      <c r="D55" s="56">
        <v>1</v>
      </c>
      <c r="E55" s="56">
        <v>1</v>
      </c>
      <c r="F55" s="55">
        <v>53.2</v>
      </c>
      <c r="G55" s="55">
        <v>45.22</v>
      </c>
      <c r="H55" s="55">
        <v>42.56</v>
      </c>
      <c r="I55" s="55">
        <v>41.496000000000002</v>
      </c>
      <c r="J55" s="55">
        <v>39.9</v>
      </c>
      <c r="K55" s="55">
        <v>35.643999999999998</v>
      </c>
      <c r="L55" s="55">
        <v>30.856000000000002</v>
      </c>
      <c r="M55" s="55"/>
      <c r="N55" s="55"/>
      <c r="O55" s="55"/>
      <c r="P55" s="55"/>
    </row>
    <row r="56" spans="1:16">
      <c r="A56" s="20" t="s">
        <v>159</v>
      </c>
      <c r="B56" s="55">
        <v>58.97</v>
      </c>
      <c r="C56" s="56">
        <v>1</v>
      </c>
      <c r="D56" s="56">
        <v>1</v>
      </c>
      <c r="E56" s="56">
        <v>1</v>
      </c>
      <c r="F56" s="55">
        <v>58.97</v>
      </c>
      <c r="G56" s="55">
        <v>50.12</v>
      </c>
      <c r="H56" s="55">
        <v>47.176000000000002</v>
      </c>
      <c r="I56" s="55">
        <v>45.996600000000001</v>
      </c>
      <c r="J56" s="55">
        <v>44.227499999999999</v>
      </c>
      <c r="K56" s="55">
        <v>39.509900000000002</v>
      </c>
      <c r="L56" s="55">
        <v>34.202599999999997</v>
      </c>
      <c r="M56" s="55"/>
      <c r="N56" s="55"/>
      <c r="O56" s="55"/>
      <c r="P56" s="55"/>
    </row>
    <row r="57" spans="1:16">
      <c r="A57" s="20" t="s">
        <v>160</v>
      </c>
      <c r="B57" s="55">
        <v>50.97</v>
      </c>
      <c r="C57" s="56">
        <v>1</v>
      </c>
      <c r="D57" s="56">
        <v>1</v>
      </c>
      <c r="E57" s="56">
        <v>1</v>
      </c>
      <c r="F57" s="55">
        <v>50.97</v>
      </c>
      <c r="G57" s="55">
        <v>43.3245</v>
      </c>
      <c r="H57" s="55">
        <v>40.266300000000001</v>
      </c>
      <c r="I57" s="55">
        <v>37.717799999999997</v>
      </c>
      <c r="J57" s="55">
        <v>35.679000000000002</v>
      </c>
      <c r="K57" s="55">
        <v>34.149900000000002</v>
      </c>
      <c r="L57" s="55">
        <v>30.582000000000001</v>
      </c>
      <c r="M57" s="55"/>
      <c r="N57" s="55"/>
      <c r="O57" s="55"/>
      <c r="P57" s="55"/>
    </row>
  </sheetData>
  <mergeCells count="1">
    <mergeCell ref="A1: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ORDER</vt:lpstr>
      <vt:lpstr>DETAILS</vt:lpstr>
      <vt:lpstr>PRICES</vt:lpstr>
      <vt:lpstr>PRODUCTS</vt:lpstr>
      <vt:lpstr>USAGE</vt:lpstr>
      <vt:lpstr>BASE_PRICES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Iren</dc:creator>
  <dc:description/>
  <cp:lastModifiedBy>Iryna Petkevych</cp:lastModifiedBy>
  <cp:revision>0</cp:revision>
  <dcterms:created xsi:type="dcterms:W3CDTF">2026-09-12T15:42:46Z</dcterms:created>
  <dcterms:modified xsi:type="dcterms:W3CDTF">2026-09-13T16:34:56Z</dcterms:modified>
  <dc:language>pl-PL</dc:language>
</cp:coreProperties>
</file>